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elwpvicgovau-my.sharepoint.com/personal/bessie_abbott_deeca_vic_gov_au/Documents/Bonds/Bond Calculator/"/>
    </mc:Choice>
  </mc:AlternateContent>
  <xr:revisionPtr revIDLastSave="0" documentId="8_{9B619146-35A6-4DD1-9B90-698798FADECF}" xr6:coauthVersionLast="47" xr6:coauthVersionMax="47" xr10:uidLastSave="{00000000-0000-0000-0000-000000000000}"/>
  <bookViews>
    <workbookView xWindow="28680" yWindow="-120" windowWidth="29040" windowHeight="15720" activeTab="5" xr2:uid="{B0D6BE29-15EC-476B-A568-DD043B835960}"/>
  </bookViews>
  <sheets>
    <sheet name="Terms and Conditions" sheetId="2" r:id="rId1"/>
    <sheet name="Registration" sheetId="3" r:id="rId2"/>
    <sheet name="Assumptions" sheetId="4" r:id="rId3"/>
    <sheet name="TOV" sheetId="5" state="hidden" r:id="rId4"/>
    <sheet name="System" sheetId="6" state="hidden" r:id="rId5"/>
    <sheet name="Infrastructure" sheetId="7" r:id="rId6"/>
    <sheet name="Tailings Storage (1)" sheetId="8" r:id="rId7"/>
    <sheet name="Tailings Storage (2)" sheetId="9" r:id="rId8"/>
    <sheet name="Tailings Storage (3)" sheetId="10" r:id="rId9"/>
    <sheet name="Overburden &amp; Waste" sheetId="11" r:id="rId10"/>
    <sheet name="Pits(1)" sheetId="12" r:id="rId11"/>
    <sheet name="Pits(2)" sheetId="13" r:id="rId12"/>
    <sheet name="Pits(3)" sheetId="14" r:id="rId13"/>
    <sheet name="Other" sheetId="15" r:id="rId14"/>
    <sheet name="Management &amp; Contingencies" sheetId="16" r:id="rId15"/>
    <sheet name="Summary Report" sheetId="17" r:id="rId16"/>
  </sheets>
  <definedNames>
    <definedName name="_xlnm.Print_Area" localSheetId="2">Assumptions!$C$3:$L$53</definedName>
    <definedName name="_xlnm.Print_Area" localSheetId="5">Infrastructure!$C$3:$L$83</definedName>
    <definedName name="_xlnm.Print_Area" localSheetId="14">'Management &amp; Contingencies'!$A$1:$L$24</definedName>
    <definedName name="_xlnm.Print_Area" localSheetId="13">Other!$C$3:$L$34</definedName>
    <definedName name="_xlnm.Print_Area" localSheetId="9">'Overburden &amp; Waste'!$C$3:$L$51</definedName>
    <definedName name="_xlnm.Print_Area" localSheetId="10">'Pits(1)'!$C$3:$L$63</definedName>
    <definedName name="_xlnm.Print_Area" localSheetId="11">'Pits(2)'!$C$3:$L$63</definedName>
    <definedName name="_xlnm.Print_Area" localSheetId="12">'Pits(3)'!$C$3:$L$63</definedName>
    <definedName name="_xlnm.Print_Area" localSheetId="1">Registration!$C$5:$M$57</definedName>
    <definedName name="_xlnm.Print_Area" localSheetId="15">'Summary Report'!$C$3:$L$58</definedName>
    <definedName name="_xlnm.Print_Area" localSheetId="6">'Tailings Storage (1)'!$C$3:$L$50</definedName>
    <definedName name="_xlnm.Print_Area" localSheetId="7">'Tailings Storage (2)'!$C$3:$L$50</definedName>
    <definedName name="_xlnm.Print_Area" localSheetId="8">'Tailings Storage (3)'!$C$3:$L$50</definedName>
    <definedName name="_xlnm.Print_Area" localSheetId="3">TOV!#REF!</definedName>
    <definedName name="_xlnm.Print_Titles" localSheetId="5">Infrastructure!$14:$14</definedName>
    <definedName name="_xlnm.Print_Titles" localSheetId="9">'Overburden &amp; Waste'!$14:$14</definedName>
    <definedName name="_xlnm.Print_Titles" localSheetId="10">'Pits(1)'!$19:$19</definedName>
    <definedName name="_xlnm.Print_Titles" localSheetId="11">'Pits(2)'!$19:$19</definedName>
    <definedName name="_xlnm.Print_Titles" localSheetId="12">'Pits(3)'!$19:$19</definedName>
    <definedName name="_xlnm.Print_Titles" localSheetId="6">'Tailings Storage (1)'!$19:$19</definedName>
    <definedName name="_xlnm.Print_Titles" localSheetId="7">'Tailings Storage (2)'!$19:$19</definedName>
    <definedName name="_xlnm.Print_Titles" localSheetId="8">'Tailings Storage (3)'!$19:$19</definedName>
    <definedName name="Select_Distance" localSheetId="5">System!$A$9:$A$13</definedName>
    <definedName name="Select_Distance" localSheetId="14">System!$A$9:$A$13</definedName>
    <definedName name="Select_Distance" localSheetId="13">System!$A$9:$A$13</definedName>
    <definedName name="Select_Distance" localSheetId="9">System!$A$9:$A$13</definedName>
    <definedName name="Select_Distance" localSheetId="10">System!$A$9:$A$13</definedName>
    <definedName name="Select_Distance" localSheetId="11">System!$A$9:$A$13</definedName>
    <definedName name="Select_Distance" localSheetId="12">System!$A$9:$A$13</definedName>
    <definedName name="Select_Distance" localSheetId="15">System!$A$9:$A$13</definedName>
    <definedName name="Select_Distance" localSheetId="6">System!$A$9:$A$13</definedName>
    <definedName name="Select_Distance" localSheetId="7">System!$A$9:$A$13</definedName>
    <definedName name="Select_Distance" localSheetId="8">System!$A$9:$A$13</definedName>
    <definedName name="Select_Distance">System!$A$9:$A$13</definedName>
    <definedName name="Select_Distance_Index" localSheetId="5">System!$A$9:$B$13</definedName>
    <definedName name="Select_Distance_Index" localSheetId="14">System!$A$9:$B$13</definedName>
    <definedName name="Select_Distance_Index" localSheetId="13">System!$A$9:$B$13</definedName>
    <definedName name="Select_Distance_Index" localSheetId="9">System!$A$9:$B$13</definedName>
    <definedName name="Select_Distance_Index" localSheetId="10">System!$A$9:$B$13</definedName>
    <definedName name="Select_Distance_Index" localSheetId="11">System!$A$9:$B$13</definedName>
    <definedName name="Select_Distance_Index" localSheetId="12">System!$A$9:$B$13</definedName>
    <definedName name="Select_Distance_Index" localSheetId="15">System!$A$9:$B$13</definedName>
    <definedName name="Select_Distance_Index" localSheetId="6">System!$A$9:$B$13</definedName>
    <definedName name="Select_Distance_Index" localSheetId="7">System!$A$9:$B$13</definedName>
    <definedName name="Select_Distance_Index" localSheetId="8">System!$A$9:$B$13</definedName>
    <definedName name="Select_Distance_Index">System!$A$9:$B$13</definedName>
    <definedName name="Select_Haul_Distance" localSheetId="5">System!$A$3:$A$7</definedName>
    <definedName name="Select_Haul_Distance" localSheetId="14">System!$A$3:$A$7</definedName>
    <definedName name="Select_Haul_Distance" localSheetId="13">System!$A$3:$A$7</definedName>
    <definedName name="Select_Haul_Distance" localSheetId="9">System!$A$3:$A$7</definedName>
    <definedName name="Select_Haul_Distance" localSheetId="10">System!$A$3:$A$7</definedName>
    <definedName name="Select_Haul_Distance" localSheetId="11">System!$A$3:$A$7</definedName>
    <definedName name="Select_Haul_Distance" localSheetId="12">System!$A$3:$A$7</definedName>
    <definedName name="Select_Haul_Distance" localSheetId="15">System!$A$3:$A$7</definedName>
    <definedName name="Select_Haul_Distance" localSheetId="6">System!$A$3:$A$7</definedName>
    <definedName name="Select_Haul_Distance" localSheetId="7">System!$A$3:$A$7</definedName>
    <definedName name="Select_Haul_Distance" localSheetId="8">System!$A$3:$A$7</definedName>
    <definedName name="Select_Haul_Distance">System!$A$3:$A$7</definedName>
    <definedName name="Select_Haul_Distance_Index" localSheetId="5">System!$A$3:$B$7</definedName>
    <definedName name="Select_Haul_Distance_Index" localSheetId="14">System!$A$3:$B$7</definedName>
    <definedName name="Select_Haul_Distance_Index" localSheetId="13">System!$A$3:$B$7</definedName>
    <definedName name="Select_Haul_Distance_Index" localSheetId="9">System!$A$3:$B$7</definedName>
    <definedName name="Select_Haul_Distance_Index" localSheetId="10">System!$A$3:$B$7</definedName>
    <definedName name="Select_Haul_Distance_Index" localSheetId="11">System!$A$3:$B$7</definedName>
    <definedName name="Select_Haul_Distance_Index" localSheetId="12">System!$A$3:$B$7</definedName>
    <definedName name="Select_Haul_Distance_Index" localSheetId="15">System!$A$3:$B$7</definedName>
    <definedName name="Select_Haul_Distance_Index" localSheetId="6">System!$A$3:$B$7</definedName>
    <definedName name="Select_Haul_Distance_Index" localSheetId="7">System!$A$3:$B$7</definedName>
    <definedName name="Select_Haul_Distance_Index" localSheetId="8">System!$A$3:$B$7</definedName>
    <definedName name="Select_Haul_Distance_Index">System!$A$3:$B$7</definedName>
    <definedName name="Select_Material">System!$A$48:$A$51</definedName>
    <definedName name="Select_Material_Index">System!$A$48:$B$51</definedName>
    <definedName name="Select_Push_Distance" localSheetId="5">System!$A$44:$A$46</definedName>
    <definedName name="Select_Push_Distance" localSheetId="14">System!$A$44:$A$46</definedName>
    <definedName name="Select_Push_Distance" localSheetId="13">System!$A$44:$A$46</definedName>
    <definedName name="Select_Push_Distance" localSheetId="9">System!$A$44:$A$46</definedName>
    <definedName name="Select_Push_Distance" localSheetId="10">System!$A$44:$A$46</definedName>
    <definedName name="Select_Push_Distance" localSheetId="11">System!$A$44:$A$46</definedName>
    <definedName name="Select_Push_Distance" localSheetId="12">System!$A$44:$A$46</definedName>
    <definedName name="Select_Push_Distance" localSheetId="15">System!$A$44:$A$46</definedName>
    <definedName name="Select_Push_Distance" localSheetId="6">System!$A$44:$A$46</definedName>
    <definedName name="Select_Push_Distance" localSheetId="7">System!$A$44:$A$46</definedName>
    <definedName name="Select_Push_Distance" localSheetId="8">System!$A$44:$A$46</definedName>
    <definedName name="Select_Push_Distance">System!$A$44:$A$46</definedName>
    <definedName name="Select_Push_Distance_Clay" localSheetId="5">System!$A$36:$A$38</definedName>
    <definedName name="Select_Push_Distance_Clay" localSheetId="14">System!$A$36:$A$38</definedName>
    <definedName name="Select_Push_Distance_Clay" localSheetId="13">System!$A$36:$A$38</definedName>
    <definedName name="Select_Push_Distance_Clay" localSheetId="9">System!$A$36:$A$38</definedName>
    <definedName name="Select_Push_Distance_Clay" localSheetId="10">System!$A$36:$A$38</definedName>
    <definedName name="Select_Push_Distance_Clay" localSheetId="11">System!$A$36:$A$38</definedName>
    <definedName name="Select_Push_Distance_Clay" localSheetId="12">System!$A$36:$A$38</definedName>
    <definedName name="Select_Push_Distance_Clay" localSheetId="15">System!$A$36:$A$38</definedName>
    <definedName name="Select_Push_Distance_Clay" localSheetId="6">System!$A$36:$A$38</definedName>
    <definedName name="Select_Push_Distance_Clay" localSheetId="7">System!$A$36:$A$38</definedName>
    <definedName name="Select_Push_Distance_Clay" localSheetId="8">System!$A$36:$A$38</definedName>
    <definedName name="Select_Push_Distance_Clay">System!$A$36:$A$38</definedName>
    <definedName name="Select_Push_Distance_Clay_Index" localSheetId="5">System!$A$36:$B$38</definedName>
    <definedName name="Select_Push_Distance_Clay_Index" localSheetId="14">System!$A$36:$B$38</definedName>
    <definedName name="Select_Push_Distance_Clay_Index" localSheetId="13">System!$A$36:$B$38</definedName>
    <definedName name="Select_Push_Distance_Clay_Index" localSheetId="9">System!$A$36:$B$38</definedName>
    <definedName name="Select_Push_Distance_Clay_Index" localSheetId="10">System!$A$36:$B$38</definedName>
    <definedName name="Select_Push_Distance_Clay_Index" localSheetId="11">System!$A$36:$B$38</definedName>
    <definedName name="Select_Push_Distance_Clay_Index" localSheetId="12">System!$A$36:$B$38</definedName>
    <definedName name="Select_Push_Distance_Clay_Index" localSheetId="15">System!$A$36:$B$38</definedName>
    <definedName name="Select_Push_Distance_Clay_Index" localSheetId="6">System!$A$36:$B$38</definedName>
    <definedName name="Select_Push_Distance_Clay_Index" localSheetId="7">System!$A$36:$B$38</definedName>
    <definedName name="Select_Push_Distance_Clay_Index" localSheetId="8">System!$A$36:$B$38</definedName>
    <definedName name="Select_Push_Distance_Clay_Index">System!$A$36:$B$38</definedName>
    <definedName name="Select_Push_Distance_Index" localSheetId="5">System!$A$44:$B$46</definedName>
    <definedName name="Select_Push_Distance_Index" localSheetId="14">System!$A$44:$B$46</definedName>
    <definedName name="Select_Push_Distance_Index" localSheetId="13">System!$A$44:$B$46</definedName>
    <definedName name="Select_Push_Distance_Index" localSheetId="9">System!$A$44:$B$46</definedName>
    <definedName name="Select_Push_Distance_Index" localSheetId="10">System!$A$44:$B$46</definedName>
    <definedName name="Select_Push_Distance_Index" localSheetId="11">System!$A$44:$B$46</definedName>
    <definedName name="Select_Push_Distance_Index" localSheetId="12">System!$A$44:$B$46</definedName>
    <definedName name="Select_Push_Distance_Index" localSheetId="15">System!$A$44:$B$46</definedName>
    <definedName name="Select_Push_Distance_Index" localSheetId="6">System!$A$44:$B$46</definedName>
    <definedName name="Select_Push_Distance_Index" localSheetId="7">System!$A$44:$B$46</definedName>
    <definedName name="Select_Push_Distance_Index" localSheetId="8">System!$A$44:$B$46</definedName>
    <definedName name="Select_Push_Distance_Index">System!$A$44:$B$46</definedName>
    <definedName name="Select_Push_Distance_Sand" localSheetId="5">System!$A$32:$A$34</definedName>
    <definedName name="Select_Push_Distance_Sand" localSheetId="14">System!$A$32:$A$34</definedName>
    <definedName name="Select_Push_Distance_Sand" localSheetId="13">System!$A$32:$A$34</definedName>
    <definedName name="Select_Push_Distance_Sand" localSheetId="9">System!$A$32:$A$34</definedName>
    <definedName name="Select_Push_Distance_Sand" localSheetId="10">System!$A$32:$A$34</definedName>
    <definedName name="Select_Push_Distance_Sand" localSheetId="11">System!$A$32:$A$34</definedName>
    <definedName name="Select_Push_Distance_Sand" localSheetId="12">System!$A$32:$A$34</definedName>
    <definedName name="Select_Push_Distance_Sand" localSheetId="15">System!$A$32:$A$34</definedName>
    <definedName name="Select_Push_Distance_Sand" localSheetId="6">System!$A$32:$A$34</definedName>
    <definedName name="Select_Push_Distance_Sand" localSheetId="7">System!$A$32:$A$34</definedName>
    <definedName name="Select_Push_Distance_Sand" localSheetId="8">System!$A$32:$A$34</definedName>
    <definedName name="Select_Push_Distance_Sand">System!$A$32:$A$34</definedName>
    <definedName name="Select_Push_Distance_Sand_Index" localSheetId="5">System!$A$32:$B$34</definedName>
    <definedName name="Select_Push_Distance_Sand_Index" localSheetId="14">System!$A$32:$B$34</definedName>
    <definedName name="Select_Push_Distance_Sand_Index" localSheetId="13">System!$A$32:$B$34</definedName>
    <definedName name="Select_Push_Distance_Sand_Index" localSheetId="9">System!$A$32:$B$34</definedName>
    <definedName name="Select_Push_Distance_Sand_Index" localSheetId="10">System!$A$32:$B$34</definedName>
    <definedName name="Select_Push_Distance_Sand_Index" localSheetId="11">System!$A$32:$B$34</definedName>
    <definedName name="Select_Push_Distance_Sand_Index" localSheetId="12">System!$A$32:$B$34</definedName>
    <definedName name="Select_Push_Distance_Sand_Index" localSheetId="15">System!$A$32:$B$34</definedName>
    <definedName name="Select_Push_Distance_Sand_Index" localSheetId="6">System!$A$32:$B$34</definedName>
    <definedName name="Select_Push_Distance_Sand_Index" localSheetId="7">System!$A$32:$B$34</definedName>
    <definedName name="Select_Push_Distance_Sand_Index" localSheetId="8">System!$A$32:$B$34</definedName>
    <definedName name="Select_Push_Distance_Sand_Index">System!$A$32:$B$34</definedName>
    <definedName name="Select_Push_Distance_Stiff_Clay" localSheetId="5">System!$A$40:$A$42</definedName>
    <definedName name="Select_Push_Distance_Stiff_Clay" localSheetId="14">System!$A$40:$A$42</definedName>
    <definedName name="Select_Push_Distance_Stiff_Clay" localSheetId="13">System!$A$40:$A$42</definedName>
    <definedName name="Select_Push_Distance_Stiff_Clay" localSheetId="9">System!$A$40:$A$42</definedName>
    <definedName name="Select_Push_Distance_Stiff_Clay" localSheetId="10">System!$A$40:$A$42</definedName>
    <definedName name="Select_Push_Distance_Stiff_Clay" localSheetId="11">System!$A$40:$A$42</definedName>
    <definedName name="Select_Push_Distance_Stiff_Clay" localSheetId="12">System!$A$40:$A$42</definedName>
    <definedName name="Select_Push_Distance_Stiff_Clay" localSheetId="15">System!$A$40:$A$42</definedName>
    <definedName name="Select_Push_Distance_Stiff_Clay" localSheetId="6">System!$A$40:$A$42</definedName>
    <definedName name="Select_Push_Distance_Stiff_Clay" localSheetId="7">System!$A$40:$A$42</definedName>
    <definedName name="Select_Push_Distance_Stiff_Clay" localSheetId="8">System!$A$40:$A$42</definedName>
    <definedName name="Select_Push_Distance_Stiff_Clay">System!$A$40:$A$42</definedName>
    <definedName name="Select_Push_Distance_Stiff_Clay_Index" localSheetId="5">System!$A$40:$B$42</definedName>
    <definedName name="Select_Push_Distance_Stiff_Clay_Index" localSheetId="14">System!$A$40:$B$42</definedName>
    <definedName name="Select_Push_Distance_Stiff_Clay_Index" localSheetId="13">System!$A$40:$B$42</definedName>
    <definedName name="Select_Push_Distance_Stiff_Clay_Index" localSheetId="9">System!$A$40:$B$42</definedName>
    <definedName name="Select_Push_Distance_Stiff_Clay_Index" localSheetId="10">System!$A$40:$B$42</definedName>
    <definedName name="Select_Push_Distance_Stiff_Clay_Index" localSheetId="11">System!$A$40:$B$42</definedName>
    <definedName name="Select_Push_Distance_Stiff_Clay_Index" localSheetId="12">System!$A$40:$B$42</definedName>
    <definedName name="Select_Push_Distance_Stiff_Clay_Index" localSheetId="15">System!$A$40:$B$42</definedName>
    <definedName name="Select_Push_Distance_Stiff_Clay_Index" localSheetId="6">System!$A$40:$B$42</definedName>
    <definedName name="Select_Push_Distance_Stiff_Clay_Index" localSheetId="7">System!$A$40:$B$42</definedName>
    <definedName name="Select_Push_Distance_Stiff_Clay_Index" localSheetId="8">System!$A$40:$B$42</definedName>
    <definedName name="Select_Push_Distance_Stiff_Clay_Index">System!$A$40:$B$42</definedName>
    <definedName name="Select_Rip_Type">System!$A$53:$A$55</definedName>
    <definedName name="Select_Rip_Type_Index">System!$A$53:$B$55</definedName>
    <definedName name="Select_Size" localSheetId="5">System!$A$15:$A$18</definedName>
    <definedName name="Select_Size" localSheetId="14">System!$A$15:$A$18</definedName>
    <definedName name="Select_Size" localSheetId="13">System!$A$15:$A$18</definedName>
    <definedName name="Select_Size" localSheetId="9">System!$A$15:$A$18</definedName>
    <definedName name="Select_Size" localSheetId="10">System!$A$15:$A$18</definedName>
    <definedName name="Select_Size" localSheetId="11">System!$A$15:$A$18</definedName>
    <definedName name="Select_Size" localSheetId="12">System!$A$15:$A$18</definedName>
    <definedName name="Select_Size" localSheetId="15">System!$A$15:$A$18</definedName>
    <definedName name="Select_Size" localSheetId="6">System!$A$15:$A$18</definedName>
    <definedName name="Select_Size" localSheetId="7">System!$A$15:$A$18</definedName>
    <definedName name="Select_Size" localSheetId="8">System!$A$15:$A$18</definedName>
    <definedName name="Select_Size">System!$A$15:$A$18</definedName>
    <definedName name="Select_Size_Index" localSheetId="5">System!$A$15:$B$18</definedName>
    <definedName name="Select_Size_Index" localSheetId="14">System!$A$15:$B$18</definedName>
    <definedName name="Select_Size_Index" localSheetId="13">System!$A$15:$B$18</definedName>
    <definedName name="Select_Size_Index" localSheetId="9">System!$A$15:$B$18</definedName>
    <definedName name="Select_Size_Index" localSheetId="10">System!$A$15:$B$18</definedName>
    <definedName name="Select_Size_Index" localSheetId="11">System!$A$15:$B$18</definedName>
    <definedName name="Select_Size_Index" localSheetId="12">System!$A$15:$B$18</definedName>
    <definedName name="Select_Size_Index" localSheetId="15">System!$A$15:$B$18</definedName>
    <definedName name="Select_Size_Index" localSheetId="6">System!$A$15:$B$18</definedName>
    <definedName name="Select_Size_Index" localSheetId="7">System!$A$15:$B$18</definedName>
    <definedName name="Select_Size_Index" localSheetId="8">System!$A$15:$B$18</definedName>
    <definedName name="Select_Size_Index">System!$A$15:$B$18</definedName>
    <definedName name="Select_Volume" localSheetId="5">System!$A$20:$A$24</definedName>
    <definedName name="Select_Volume" localSheetId="14">System!$A$20:$A$24</definedName>
    <definedName name="Select_Volume" localSheetId="13">System!$A$20:$A$24</definedName>
    <definedName name="Select_Volume" localSheetId="9">System!$A$20:$A$24</definedName>
    <definedName name="Select_Volume" localSheetId="10">System!$A$20:$A$24</definedName>
    <definedName name="Select_Volume" localSheetId="11">System!$A$20:$A$24</definedName>
    <definedName name="Select_Volume" localSheetId="12">System!$A$20:$A$24</definedName>
    <definedName name="Select_Volume" localSheetId="15">System!$A$20:$A$24</definedName>
    <definedName name="Select_Volume" localSheetId="6">System!$A$20:$A$24</definedName>
    <definedName name="Select_Volume" localSheetId="7">System!$A$20:$A$24</definedName>
    <definedName name="Select_Volume" localSheetId="8">System!$A$20:$A$24</definedName>
    <definedName name="Select_Volume">System!$A$20:$A$24</definedName>
    <definedName name="Select_Volume_Index" localSheetId="5">System!$A$20:$B$24</definedName>
    <definedName name="Select_Volume_Index" localSheetId="14">System!$A$20:$B$24</definedName>
    <definedName name="Select_Volume_Index" localSheetId="13">System!$A$20:$B$24</definedName>
    <definedName name="Select_Volume_Index" localSheetId="9">System!$A$20:$B$24</definedName>
    <definedName name="Select_Volume_Index" localSheetId="10">System!$A$20:$B$24</definedName>
    <definedName name="Select_Volume_Index" localSheetId="11">System!$A$20:$B$24</definedName>
    <definedName name="Select_Volume_Index" localSheetId="12">System!$A$20:$B$24</definedName>
    <definedName name="Select_Volume_Index" localSheetId="15">System!$A$20:$B$24</definedName>
    <definedName name="Select_Volume_Index" localSheetId="6">System!$A$20:$B$24</definedName>
    <definedName name="Select_Volume_Index" localSheetId="7">System!$A$20:$B$24</definedName>
    <definedName name="Select_Volume_Index" localSheetId="8">System!$A$20:$B$24</definedName>
    <definedName name="Select_Volume_Index">System!$A$20:$B$24</definedName>
    <definedName name="Total_Liability">'Summary Report'!$J$43</definedName>
    <definedName name="Y_N" localSheetId="5">System!$D$3:$D$4</definedName>
    <definedName name="Y_N" localSheetId="14">System!$D$3:$D$4</definedName>
    <definedName name="Y_N" localSheetId="13">System!$D$3:$D$4</definedName>
    <definedName name="Y_N" localSheetId="9">System!$D$3:$D$4</definedName>
    <definedName name="Y_N" localSheetId="10">System!$D$3:$D$4</definedName>
    <definedName name="Y_N" localSheetId="11">System!$D$3:$D$4</definedName>
    <definedName name="Y_N" localSheetId="12">System!$D$3:$D$4</definedName>
    <definedName name="Y_N" localSheetId="15">System!$D$3:$D$4</definedName>
    <definedName name="Y_N" localSheetId="6">System!$D$3:$D$4</definedName>
    <definedName name="Y_N" localSheetId="7">System!$D$3:$D$4</definedName>
    <definedName name="Y_N" localSheetId="8">System!$D$3:$D$4</definedName>
    <definedName name="Y_N">System!$D$3:$D$4</definedName>
    <definedName name="Z_2FACC61F_0CCB_4F9A_9FC4_FB98AB602DA6_.wvu.Cols" localSheetId="5" hidden="1">Infrastructure!$P:$IV</definedName>
    <definedName name="Z_2FACC61F_0CCB_4F9A_9FC4_FB98AB602DA6_.wvu.Cols" localSheetId="14" hidden="1">'Management &amp; Contingencies'!$P:$IV</definedName>
    <definedName name="Z_2FACC61F_0CCB_4F9A_9FC4_FB98AB602DA6_.wvu.Cols" localSheetId="13" hidden="1">Other!$P:$IV</definedName>
    <definedName name="Z_2FACC61F_0CCB_4F9A_9FC4_FB98AB602DA6_.wvu.Cols" localSheetId="9" hidden="1">'Overburden &amp; Waste'!$P:$IV</definedName>
    <definedName name="Z_2FACC61F_0CCB_4F9A_9FC4_FB98AB602DA6_.wvu.Cols" localSheetId="10" hidden="1">'Pits(1)'!$P:$IV</definedName>
    <definedName name="Z_2FACC61F_0CCB_4F9A_9FC4_FB98AB602DA6_.wvu.Cols" localSheetId="11" hidden="1">'Pits(2)'!$P:$IV</definedName>
    <definedName name="Z_2FACC61F_0CCB_4F9A_9FC4_FB98AB602DA6_.wvu.Cols" localSheetId="12" hidden="1">'Pits(3)'!$P:$IV</definedName>
    <definedName name="Z_2FACC61F_0CCB_4F9A_9FC4_FB98AB602DA6_.wvu.Cols" localSheetId="1" hidden="1">Registration!$P:$IV</definedName>
    <definedName name="Z_2FACC61F_0CCB_4F9A_9FC4_FB98AB602DA6_.wvu.Cols" localSheetId="15" hidden="1">'Summary Report'!$O:$IV</definedName>
    <definedName name="Z_2FACC61F_0CCB_4F9A_9FC4_FB98AB602DA6_.wvu.Cols" localSheetId="6" hidden="1">'Tailings Storage (1)'!$P:$IV</definedName>
    <definedName name="Z_2FACC61F_0CCB_4F9A_9FC4_FB98AB602DA6_.wvu.Cols" localSheetId="7" hidden="1">'Tailings Storage (2)'!$P:$IV</definedName>
    <definedName name="Z_2FACC61F_0CCB_4F9A_9FC4_FB98AB602DA6_.wvu.Cols" localSheetId="8" hidden="1">'Tailings Storage (3)'!$P:$IV</definedName>
    <definedName name="Z_2FACC61F_0CCB_4F9A_9FC4_FB98AB602DA6_.wvu.Cols" localSheetId="3" hidden="1">TOV!#REF!</definedName>
    <definedName name="Z_2FACC61F_0CCB_4F9A_9FC4_FB98AB602DA6_.wvu.PrintArea" localSheetId="3" hidden="1">TOV!$A$1:$E$218</definedName>
    <definedName name="Z_2FACC61F_0CCB_4F9A_9FC4_FB98AB602DA6_.wvu.Rows" localSheetId="5" hidden="1">Infrastructure!$86:$65549</definedName>
    <definedName name="Z_2FACC61F_0CCB_4F9A_9FC4_FB98AB602DA6_.wvu.Rows" localSheetId="14" hidden="1">'Management &amp; Contingencies'!$27:$65536</definedName>
    <definedName name="Z_2FACC61F_0CCB_4F9A_9FC4_FB98AB602DA6_.wvu.Rows" localSheetId="13" hidden="1">Other!$37:$65539</definedName>
    <definedName name="Z_2FACC61F_0CCB_4F9A_9FC4_FB98AB602DA6_.wvu.Rows" localSheetId="9" hidden="1">'Overburden &amp; Waste'!$68:$65541,'Overburden &amp; Waste'!$56:$67</definedName>
    <definedName name="Z_2FACC61F_0CCB_4F9A_9FC4_FB98AB602DA6_.wvu.Rows" localSheetId="10" hidden="1">'Pits(1)'!$66:$65541</definedName>
    <definedName name="Z_2FACC61F_0CCB_4F9A_9FC4_FB98AB602DA6_.wvu.Rows" localSheetId="11" hidden="1">'Pits(2)'!$66:$65541</definedName>
    <definedName name="Z_2FACC61F_0CCB_4F9A_9FC4_FB98AB602DA6_.wvu.Rows" localSheetId="12" hidden="1">'Pits(3)'!$66:$65541</definedName>
    <definedName name="Z_2FACC61F_0CCB_4F9A_9FC4_FB98AB602DA6_.wvu.Rows" localSheetId="1" hidden="1">Registration!$60:$65536</definedName>
    <definedName name="Z_2FACC61F_0CCB_4F9A_9FC4_FB98AB602DA6_.wvu.Rows" localSheetId="15" hidden="1">'Summary Report'!$61:$65538</definedName>
    <definedName name="Z_2FACC61F_0CCB_4F9A_9FC4_FB98AB602DA6_.wvu.Rows" localSheetId="4" hidden="1">System!$1:$1048576,System!$1:$1048576</definedName>
    <definedName name="Z_2FACC61F_0CCB_4F9A_9FC4_FB98AB602DA6_.wvu.Rows" localSheetId="6" hidden="1">'Tailings Storage (1)'!$53:$65541</definedName>
    <definedName name="Z_2FACC61F_0CCB_4F9A_9FC4_FB98AB602DA6_.wvu.Rows" localSheetId="7" hidden="1">'Tailings Storage (2)'!$53:$65541</definedName>
    <definedName name="Z_2FACC61F_0CCB_4F9A_9FC4_FB98AB602DA6_.wvu.Rows" localSheetId="8" hidden="1">'Tailings Storage (3)'!$53:$65541</definedName>
    <definedName name="Z_41A8ADCC_2507_4752_A3EE_F762BBC19AE1_.wvu.Cols" localSheetId="5" hidden="1">Infrastructure!$P:$IV</definedName>
    <definedName name="Z_41A8ADCC_2507_4752_A3EE_F762BBC19AE1_.wvu.Cols" localSheetId="14" hidden="1">'Management &amp; Contingencies'!$P:$IV</definedName>
    <definedName name="Z_41A8ADCC_2507_4752_A3EE_F762BBC19AE1_.wvu.Cols" localSheetId="13" hidden="1">Other!$P:$IV</definedName>
    <definedName name="Z_41A8ADCC_2507_4752_A3EE_F762BBC19AE1_.wvu.Cols" localSheetId="9" hidden="1">'Overburden &amp; Waste'!$P:$IV</definedName>
    <definedName name="Z_41A8ADCC_2507_4752_A3EE_F762BBC19AE1_.wvu.Cols" localSheetId="10" hidden="1">'Pits(1)'!$P:$IV</definedName>
    <definedName name="Z_41A8ADCC_2507_4752_A3EE_F762BBC19AE1_.wvu.Cols" localSheetId="11" hidden="1">'Pits(2)'!$P:$IV</definedName>
    <definedName name="Z_41A8ADCC_2507_4752_A3EE_F762BBC19AE1_.wvu.Cols" localSheetId="12" hidden="1">'Pits(3)'!$P:$IV</definedName>
    <definedName name="Z_41A8ADCC_2507_4752_A3EE_F762BBC19AE1_.wvu.Cols" localSheetId="1" hidden="1">Registration!$P:$IV</definedName>
    <definedName name="Z_41A8ADCC_2507_4752_A3EE_F762BBC19AE1_.wvu.Cols" localSheetId="15" hidden="1">'Summary Report'!$O:$IV</definedName>
    <definedName name="Z_41A8ADCC_2507_4752_A3EE_F762BBC19AE1_.wvu.Cols" localSheetId="6" hidden="1">'Tailings Storage (1)'!$P:$IV</definedName>
    <definedName name="Z_41A8ADCC_2507_4752_A3EE_F762BBC19AE1_.wvu.Cols" localSheetId="7" hidden="1">'Tailings Storage (2)'!$P:$IV</definedName>
    <definedName name="Z_41A8ADCC_2507_4752_A3EE_F762BBC19AE1_.wvu.Cols" localSheetId="8" hidden="1">'Tailings Storage (3)'!$P:$IV</definedName>
    <definedName name="Z_41A8ADCC_2507_4752_A3EE_F762BBC19AE1_.wvu.Cols" localSheetId="3" hidden="1">TOV!#REF!</definedName>
    <definedName name="Z_41A8ADCC_2507_4752_A3EE_F762BBC19AE1_.wvu.PrintArea" localSheetId="3" hidden="1">TOV!$A$1:$E$218</definedName>
    <definedName name="Z_41A8ADCC_2507_4752_A3EE_F762BBC19AE1_.wvu.Rows" localSheetId="5" hidden="1">Infrastructure!$86:$65549</definedName>
    <definedName name="Z_41A8ADCC_2507_4752_A3EE_F762BBC19AE1_.wvu.Rows" localSheetId="14" hidden="1">'Management &amp; Contingencies'!$27:$65536</definedName>
    <definedName name="Z_41A8ADCC_2507_4752_A3EE_F762BBC19AE1_.wvu.Rows" localSheetId="13" hidden="1">Other!$37:$65539</definedName>
    <definedName name="Z_41A8ADCC_2507_4752_A3EE_F762BBC19AE1_.wvu.Rows" localSheetId="9" hidden="1">'Overburden &amp; Waste'!$68:$65541,'Overburden &amp; Waste'!$56:$67</definedName>
    <definedName name="Z_41A8ADCC_2507_4752_A3EE_F762BBC19AE1_.wvu.Rows" localSheetId="10" hidden="1">'Pits(1)'!$66:$65541</definedName>
    <definedName name="Z_41A8ADCC_2507_4752_A3EE_F762BBC19AE1_.wvu.Rows" localSheetId="11" hidden="1">'Pits(2)'!$66:$65541</definedName>
    <definedName name="Z_41A8ADCC_2507_4752_A3EE_F762BBC19AE1_.wvu.Rows" localSheetId="12" hidden="1">'Pits(3)'!$66:$65541</definedName>
    <definedName name="Z_41A8ADCC_2507_4752_A3EE_F762BBC19AE1_.wvu.Rows" localSheetId="1" hidden="1">Registration!$60:$65536</definedName>
    <definedName name="Z_41A8ADCC_2507_4752_A3EE_F762BBC19AE1_.wvu.Rows" localSheetId="15" hidden="1">'Summary Report'!$61:$65538</definedName>
    <definedName name="Z_41A8ADCC_2507_4752_A3EE_F762BBC19AE1_.wvu.Rows" localSheetId="4" hidden="1">System!$1:$1048576,System!$1:$1048576</definedName>
    <definedName name="Z_41A8ADCC_2507_4752_A3EE_F762BBC19AE1_.wvu.Rows" localSheetId="6" hidden="1">'Tailings Storage (1)'!$53:$65541</definedName>
    <definedName name="Z_41A8ADCC_2507_4752_A3EE_F762BBC19AE1_.wvu.Rows" localSheetId="7" hidden="1">'Tailings Storage (2)'!$53:$65541</definedName>
    <definedName name="Z_41A8ADCC_2507_4752_A3EE_F762BBC19AE1_.wvu.Rows" localSheetId="8" hidden="1">'Tailings Storage (3)'!$53:$65541</definedName>
    <definedName name="Z_4CDCC75F_9EF8_4C61_98C8_402ABB879AE7_.wvu.Cols" localSheetId="5" hidden="1">Infrastructure!$P:$IV</definedName>
    <definedName name="Z_4CDCC75F_9EF8_4C61_98C8_402ABB879AE7_.wvu.Cols" localSheetId="14" hidden="1">'Management &amp; Contingencies'!$P:$IV</definedName>
    <definedName name="Z_4CDCC75F_9EF8_4C61_98C8_402ABB879AE7_.wvu.Cols" localSheetId="13" hidden="1">Other!$P:$IV</definedName>
    <definedName name="Z_4CDCC75F_9EF8_4C61_98C8_402ABB879AE7_.wvu.Cols" localSheetId="9" hidden="1">'Overburden &amp; Waste'!$P:$IV</definedName>
    <definedName name="Z_4CDCC75F_9EF8_4C61_98C8_402ABB879AE7_.wvu.Cols" localSheetId="10" hidden="1">'Pits(1)'!$P:$IV</definedName>
    <definedName name="Z_4CDCC75F_9EF8_4C61_98C8_402ABB879AE7_.wvu.Cols" localSheetId="11" hidden="1">'Pits(2)'!$P:$IV</definedName>
    <definedName name="Z_4CDCC75F_9EF8_4C61_98C8_402ABB879AE7_.wvu.Cols" localSheetId="12" hidden="1">'Pits(3)'!$P:$IV</definedName>
    <definedName name="Z_4CDCC75F_9EF8_4C61_98C8_402ABB879AE7_.wvu.Cols" localSheetId="1" hidden="1">Registration!$P:$IV</definedName>
    <definedName name="Z_4CDCC75F_9EF8_4C61_98C8_402ABB879AE7_.wvu.Cols" localSheetId="15" hidden="1">'Summary Report'!$O:$IV</definedName>
    <definedName name="Z_4CDCC75F_9EF8_4C61_98C8_402ABB879AE7_.wvu.Cols" localSheetId="6" hidden="1">'Tailings Storage (1)'!$P:$IV</definedName>
    <definedName name="Z_4CDCC75F_9EF8_4C61_98C8_402ABB879AE7_.wvu.Cols" localSheetId="7" hidden="1">'Tailings Storage (2)'!$P:$IV</definedName>
    <definedName name="Z_4CDCC75F_9EF8_4C61_98C8_402ABB879AE7_.wvu.Cols" localSheetId="8" hidden="1">'Tailings Storage (3)'!$P:$IV</definedName>
    <definedName name="Z_4CDCC75F_9EF8_4C61_98C8_402ABB879AE7_.wvu.PrintArea" localSheetId="3" hidden="1">TOV!$A$1:$E$218</definedName>
    <definedName name="Z_4CDCC75F_9EF8_4C61_98C8_402ABB879AE7_.wvu.Rows" localSheetId="5" hidden="1">Infrastructure!$86:$65549</definedName>
    <definedName name="Z_4CDCC75F_9EF8_4C61_98C8_402ABB879AE7_.wvu.Rows" localSheetId="14" hidden="1">'Management &amp; Contingencies'!$27:$65536</definedName>
    <definedName name="Z_4CDCC75F_9EF8_4C61_98C8_402ABB879AE7_.wvu.Rows" localSheetId="13" hidden="1">Other!$37:$65539</definedName>
    <definedName name="Z_4CDCC75F_9EF8_4C61_98C8_402ABB879AE7_.wvu.Rows" localSheetId="9" hidden="1">'Overburden &amp; Waste'!$68:$65541,'Overburden &amp; Waste'!$56:$67</definedName>
    <definedName name="Z_4CDCC75F_9EF8_4C61_98C8_402ABB879AE7_.wvu.Rows" localSheetId="10" hidden="1">'Pits(1)'!$66:$65541</definedName>
    <definedName name="Z_4CDCC75F_9EF8_4C61_98C8_402ABB879AE7_.wvu.Rows" localSheetId="11" hidden="1">'Pits(2)'!$66:$65541</definedName>
    <definedName name="Z_4CDCC75F_9EF8_4C61_98C8_402ABB879AE7_.wvu.Rows" localSheetId="12" hidden="1">'Pits(3)'!$66:$65541</definedName>
    <definedName name="Z_4CDCC75F_9EF8_4C61_98C8_402ABB879AE7_.wvu.Rows" localSheetId="1" hidden="1">Registration!$62:$65536</definedName>
    <definedName name="Z_4CDCC75F_9EF8_4C61_98C8_402ABB879AE7_.wvu.Rows" localSheetId="15" hidden="1">'Summary Report'!$61:$65538</definedName>
    <definedName name="Z_4CDCC75F_9EF8_4C61_98C8_402ABB879AE7_.wvu.Rows" localSheetId="4" hidden="1">System!$1:$1048576,System!$1:$1048576</definedName>
    <definedName name="Z_4CDCC75F_9EF8_4C61_98C8_402ABB879AE7_.wvu.Rows" localSheetId="6" hidden="1">'Tailings Storage (1)'!$53:$65541</definedName>
    <definedName name="Z_4CDCC75F_9EF8_4C61_98C8_402ABB879AE7_.wvu.Rows" localSheetId="7" hidden="1">'Tailings Storage (2)'!$53:$65541</definedName>
    <definedName name="Z_4CDCC75F_9EF8_4C61_98C8_402ABB879AE7_.wvu.Rows" localSheetId="8" hidden="1">'Tailings Storage (3)'!$53:$65541</definedName>
    <definedName name="Z_61CD6FD2_F6DE_422C_B544_3D388865927F_.wvu.Cols" localSheetId="5" hidden="1">Infrastructure!$P:$IV</definedName>
    <definedName name="Z_61CD6FD2_F6DE_422C_B544_3D388865927F_.wvu.Cols" localSheetId="14" hidden="1">'Management &amp; Contingencies'!$P:$IV</definedName>
    <definedName name="Z_61CD6FD2_F6DE_422C_B544_3D388865927F_.wvu.Cols" localSheetId="13" hidden="1">Other!$P:$IV</definedName>
    <definedName name="Z_61CD6FD2_F6DE_422C_B544_3D388865927F_.wvu.Cols" localSheetId="9" hidden="1">'Overburden &amp; Waste'!$P:$IV</definedName>
    <definedName name="Z_61CD6FD2_F6DE_422C_B544_3D388865927F_.wvu.Cols" localSheetId="10" hidden="1">'Pits(1)'!$P:$IV</definedName>
    <definedName name="Z_61CD6FD2_F6DE_422C_B544_3D388865927F_.wvu.Cols" localSheetId="11" hidden="1">'Pits(2)'!$P:$IV</definedName>
    <definedName name="Z_61CD6FD2_F6DE_422C_B544_3D388865927F_.wvu.Cols" localSheetId="12" hidden="1">'Pits(3)'!$P:$IV</definedName>
    <definedName name="Z_61CD6FD2_F6DE_422C_B544_3D388865927F_.wvu.Cols" localSheetId="1" hidden="1">Registration!$P:$IV</definedName>
    <definedName name="Z_61CD6FD2_F6DE_422C_B544_3D388865927F_.wvu.Cols" localSheetId="15" hidden="1">'Summary Report'!$O:$IV</definedName>
    <definedName name="Z_61CD6FD2_F6DE_422C_B544_3D388865927F_.wvu.Cols" localSheetId="6" hidden="1">'Tailings Storage (1)'!$P:$IV</definedName>
    <definedName name="Z_61CD6FD2_F6DE_422C_B544_3D388865927F_.wvu.Cols" localSheetId="7" hidden="1">'Tailings Storage (2)'!$P:$IV</definedName>
    <definedName name="Z_61CD6FD2_F6DE_422C_B544_3D388865927F_.wvu.Cols" localSheetId="8" hidden="1">'Tailings Storage (3)'!$P:$IV</definedName>
    <definedName name="Z_61CD6FD2_F6DE_422C_B544_3D388865927F_.wvu.Rows" localSheetId="5" hidden="1">Infrastructure!$86:$65549</definedName>
    <definedName name="Z_61CD6FD2_F6DE_422C_B544_3D388865927F_.wvu.Rows" localSheetId="14" hidden="1">'Management &amp; Contingencies'!$27:$65536</definedName>
    <definedName name="Z_61CD6FD2_F6DE_422C_B544_3D388865927F_.wvu.Rows" localSheetId="13" hidden="1">Other!$37:$65539</definedName>
    <definedName name="Z_61CD6FD2_F6DE_422C_B544_3D388865927F_.wvu.Rows" localSheetId="9" hidden="1">'Overburden &amp; Waste'!$68:$65541,'Overburden &amp; Waste'!$56:$67</definedName>
    <definedName name="Z_61CD6FD2_F6DE_422C_B544_3D388865927F_.wvu.Rows" localSheetId="10" hidden="1">'Pits(1)'!$66:$65541</definedName>
    <definedName name="Z_61CD6FD2_F6DE_422C_B544_3D388865927F_.wvu.Rows" localSheetId="11" hidden="1">'Pits(2)'!$66:$65541</definedName>
    <definedName name="Z_61CD6FD2_F6DE_422C_B544_3D388865927F_.wvu.Rows" localSheetId="12" hidden="1">'Pits(3)'!$66:$65541</definedName>
    <definedName name="Z_61CD6FD2_F6DE_422C_B544_3D388865927F_.wvu.Rows" localSheetId="1" hidden="1">Registration!$60:$65536</definedName>
    <definedName name="Z_61CD6FD2_F6DE_422C_B544_3D388865927F_.wvu.Rows" localSheetId="15" hidden="1">'Summary Report'!$61:$65538</definedName>
    <definedName name="Z_61CD6FD2_F6DE_422C_B544_3D388865927F_.wvu.Rows" localSheetId="4" hidden="1">System!$1:$1048576,System!$1:$1048576</definedName>
    <definedName name="Z_61CD6FD2_F6DE_422C_B544_3D388865927F_.wvu.Rows" localSheetId="6" hidden="1">'Tailings Storage (1)'!$53:$65541</definedName>
    <definedName name="Z_61CD6FD2_F6DE_422C_B544_3D388865927F_.wvu.Rows" localSheetId="7" hidden="1">'Tailings Storage (2)'!$53:$65541</definedName>
    <definedName name="Z_61CD6FD2_F6DE_422C_B544_3D388865927F_.wvu.Rows" localSheetId="8" hidden="1">'Tailings Storage (3)'!$53:$65541</definedName>
    <definedName name="Z_B9B8C2DC_3363_4EAD_9396_44349DABBC4D_.wvu.Cols" localSheetId="5" hidden="1">Infrastructure!$P:$IV</definedName>
    <definedName name="Z_B9B8C2DC_3363_4EAD_9396_44349DABBC4D_.wvu.Cols" localSheetId="14" hidden="1">'Management &amp; Contingencies'!$P:$IV</definedName>
    <definedName name="Z_B9B8C2DC_3363_4EAD_9396_44349DABBC4D_.wvu.Cols" localSheetId="13" hidden="1">Other!$P:$IV</definedName>
    <definedName name="Z_B9B8C2DC_3363_4EAD_9396_44349DABBC4D_.wvu.Cols" localSheetId="9" hidden="1">'Overburden &amp; Waste'!$P:$IV</definedName>
    <definedName name="Z_B9B8C2DC_3363_4EAD_9396_44349DABBC4D_.wvu.Cols" localSheetId="10" hidden="1">'Pits(1)'!$P:$IV</definedName>
    <definedName name="Z_B9B8C2DC_3363_4EAD_9396_44349DABBC4D_.wvu.Cols" localSheetId="11" hidden="1">'Pits(2)'!$P:$IV</definedName>
    <definedName name="Z_B9B8C2DC_3363_4EAD_9396_44349DABBC4D_.wvu.Cols" localSheetId="12" hidden="1">'Pits(3)'!$P:$IV</definedName>
    <definedName name="Z_B9B8C2DC_3363_4EAD_9396_44349DABBC4D_.wvu.Cols" localSheetId="1" hidden="1">Registration!$P:$IV</definedName>
    <definedName name="Z_B9B8C2DC_3363_4EAD_9396_44349DABBC4D_.wvu.Cols" localSheetId="15" hidden="1">'Summary Report'!$O:$IV</definedName>
    <definedName name="Z_B9B8C2DC_3363_4EAD_9396_44349DABBC4D_.wvu.Cols" localSheetId="6" hidden="1">'Tailings Storage (1)'!$P:$IV</definedName>
    <definedName name="Z_B9B8C2DC_3363_4EAD_9396_44349DABBC4D_.wvu.Cols" localSheetId="7" hidden="1">'Tailings Storage (2)'!$P:$IV</definedName>
    <definedName name="Z_B9B8C2DC_3363_4EAD_9396_44349DABBC4D_.wvu.Cols" localSheetId="8" hidden="1">'Tailings Storage (3)'!$P:$IV</definedName>
    <definedName name="Z_B9B8C2DC_3363_4EAD_9396_44349DABBC4D_.wvu.Rows" localSheetId="5" hidden="1">Infrastructure!$86:$65549</definedName>
    <definedName name="Z_B9B8C2DC_3363_4EAD_9396_44349DABBC4D_.wvu.Rows" localSheetId="14" hidden="1">'Management &amp; Contingencies'!$27:$65536</definedName>
    <definedName name="Z_B9B8C2DC_3363_4EAD_9396_44349DABBC4D_.wvu.Rows" localSheetId="13" hidden="1">Other!$37:$65539</definedName>
    <definedName name="Z_B9B8C2DC_3363_4EAD_9396_44349DABBC4D_.wvu.Rows" localSheetId="9" hidden="1">'Overburden &amp; Waste'!$68:$65541,'Overburden &amp; Waste'!$56:$67</definedName>
    <definedName name="Z_B9B8C2DC_3363_4EAD_9396_44349DABBC4D_.wvu.Rows" localSheetId="10" hidden="1">'Pits(1)'!$66:$65541</definedName>
    <definedName name="Z_B9B8C2DC_3363_4EAD_9396_44349DABBC4D_.wvu.Rows" localSheetId="11" hidden="1">'Pits(2)'!$66:$65541</definedName>
    <definedName name="Z_B9B8C2DC_3363_4EAD_9396_44349DABBC4D_.wvu.Rows" localSheetId="12" hidden="1">'Pits(3)'!$66:$65541</definedName>
    <definedName name="Z_B9B8C2DC_3363_4EAD_9396_44349DABBC4D_.wvu.Rows" localSheetId="1" hidden="1">Registration!$60:$65536</definedName>
    <definedName name="Z_B9B8C2DC_3363_4EAD_9396_44349DABBC4D_.wvu.Rows" localSheetId="15" hidden="1">'Summary Report'!$61:$65538</definedName>
    <definedName name="Z_B9B8C2DC_3363_4EAD_9396_44349DABBC4D_.wvu.Rows" localSheetId="4" hidden="1">System!$1:$1048576,System!$1:$1048576</definedName>
    <definedName name="Z_B9B8C2DC_3363_4EAD_9396_44349DABBC4D_.wvu.Rows" localSheetId="6" hidden="1">'Tailings Storage (1)'!$53:$65541</definedName>
    <definedName name="Z_B9B8C2DC_3363_4EAD_9396_44349DABBC4D_.wvu.Rows" localSheetId="7" hidden="1">'Tailings Storage (2)'!$53:$65541</definedName>
    <definedName name="Z_B9B8C2DC_3363_4EAD_9396_44349DABBC4D_.wvu.Rows" localSheetId="8" hidden="1">'Tailings Storage (3)'!$53:$65541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5" l="1"/>
  <c r="H26" i="15"/>
  <c r="H25" i="15"/>
  <c r="H24" i="15"/>
  <c r="H23" i="15"/>
  <c r="H22" i="15"/>
  <c r="H21" i="15"/>
  <c r="H20" i="15"/>
  <c r="H19" i="15"/>
  <c r="H18" i="15"/>
  <c r="J18" i="15" s="1"/>
  <c r="H17" i="15"/>
  <c r="H16" i="15"/>
  <c r="H15" i="15"/>
  <c r="D27" i="15"/>
  <c r="D26" i="15"/>
  <c r="D25" i="15"/>
  <c r="D24" i="15"/>
  <c r="D23" i="15"/>
  <c r="D22" i="15"/>
  <c r="D21" i="15"/>
  <c r="D20" i="15"/>
  <c r="D19" i="15"/>
  <c r="D18" i="15"/>
  <c r="D17" i="15"/>
  <c r="D16" i="15"/>
  <c r="D15" i="15"/>
  <c r="H56" i="14"/>
  <c r="H55" i="14"/>
  <c r="H54" i="14"/>
  <c r="H53" i="14"/>
  <c r="H52" i="14"/>
  <c r="H51" i="14"/>
  <c r="H48" i="14"/>
  <c r="J48" i="14" s="1"/>
  <c r="H47" i="14"/>
  <c r="H46" i="14"/>
  <c r="H45" i="14"/>
  <c r="H44" i="14"/>
  <c r="H43" i="14"/>
  <c r="H42" i="14"/>
  <c r="H41" i="14"/>
  <c r="H39" i="14"/>
  <c r="H38" i="14"/>
  <c r="H37" i="14"/>
  <c r="H36" i="14"/>
  <c r="H34" i="14"/>
  <c r="J34" i="14" s="1"/>
  <c r="H33" i="14"/>
  <c r="H30" i="14"/>
  <c r="H29" i="14"/>
  <c r="H28" i="14"/>
  <c r="H21" i="14"/>
  <c r="H20" i="14"/>
  <c r="D56" i="14"/>
  <c r="D55" i="14"/>
  <c r="D54" i="14"/>
  <c r="D53" i="14"/>
  <c r="D52" i="14"/>
  <c r="D51" i="14"/>
  <c r="D48" i="14"/>
  <c r="D47" i="14"/>
  <c r="D46" i="14"/>
  <c r="D45" i="14"/>
  <c r="D44" i="14"/>
  <c r="D43" i="14"/>
  <c r="D42" i="14"/>
  <c r="D41" i="14"/>
  <c r="D39" i="14"/>
  <c r="D38" i="14"/>
  <c r="D37" i="14"/>
  <c r="D36" i="14"/>
  <c r="D34" i="14"/>
  <c r="D33" i="14"/>
  <c r="D30" i="14"/>
  <c r="D29" i="14"/>
  <c r="D28" i="14"/>
  <c r="D21" i="14"/>
  <c r="D20" i="14"/>
  <c r="H56" i="13"/>
  <c r="H55" i="13"/>
  <c r="H54" i="13"/>
  <c r="H53" i="13"/>
  <c r="H52" i="13"/>
  <c r="H51" i="13"/>
  <c r="H48" i="13"/>
  <c r="J48" i="13" s="1"/>
  <c r="H47" i="13"/>
  <c r="H46" i="13"/>
  <c r="H45" i="13"/>
  <c r="H44" i="13"/>
  <c r="H43" i="13"/>
  <c r="H42" i="13"/>
  <c r="H41" i="13"/>
  <c r="H39" i="13"/>
  <c r="H38" i="13"/>
  <c r="H37" i="13"/>
  <c r="H36" i="13"/>
  <c r="H34" i="13"/>
  <c r="J34" i="13" s="1"/>
  <c r="H33" i="13"/>
  <c r="H30" i="13"/>
  <c r="H29" i="13"/>
  <c r="H28" i="13"/>
  <c r="H21" i="13"/>
  <c r="H20" i="13"/>
  <c r="D56" i="13"/>
  <c r="D55" i="13"/>
  <c r="D54" i="13"/>
  <c r="D53" i="13"/>
  <c r="D52" i="13"/>
  <c r="D51" i="13"/>
  <c r="D48" i="13"/>
  <c r="D47" i="13"/>
  <c r="D46" i="13"/>
  <c r="D45" i="13"/>
  <c r="D44" i="13"/>
  <c r="D43" i="13"/>
  <c r="D42" i="13"/>
  <c r="D41" i="13"/>
  <c r="D39" i="13"/>
  <c r="D38" i="13"/>
  <c r="D37" i="13"/>
  <c r="D36" i="13"/>
  <c r="D34" i="13"/>
  <c r="D33" i="13"/>
  <c r="D30" i="13"/>
  <c r="D29" i="13"/>
  <c r="D28" i="13"/>
  <c r="D21" i="13"/>
  <c r="D20" i="13"/>
  <c r="H56" i="12"/>
  <c r="H55" i="12"/>
  <c r="H54" i="12"/>
  <c r="H53" i="12"/>
  <c r="H52" i="12"/>
  <c r="H51" i="12"/>
  <c r="H48" i="12"/>
  <c r="J48" i="12" s="1"/>
  <c r="H47" i="12"/>
  <c r="H46" i="12"/>
  <c r="H45" i="12"/>
  <c r="H44" i="12"/>
  <c r="H43" i="12"/>
  <c r="H42" i="12"/>
  <c r="H41" i="12"/>
  <c r="H39" i="12"/>
  <c r="H38" i="12"/>
  <c r="H37" i="12"/>
  <c r="H36" i="12"/>
  <c r="H34" i="12"/>
  <c r="J34" i="12" s="1"/>
  <c r="H33" i="12"/>
  <c r="H30" i="12"/>
  <c r="H29" i="12"/>
  <c r="H28" i="12"/>
  <c r="H21" i="12"/>
  <c r="H20" i="12"/>
  <c r="D56" i="12"/>
  <c r="D55" i="12"/>
  <c r="D54" i="12"/>
  <c r="D53" i="12"/>
  <c r="D52" i="12"/>
  <c r="D51" i="12"/>
  <c r="D48" i="12"/>
  <c r="D47" i="12"/>
  <c r="D46" i="12"/>
  <c r="D45" i="12"/>
  <c r="D44" i="12"/>
  <c r="D43" i="12"/>
  <c r="D42" i="12"/>
  <c r="D41" i="12"/>
  <c r="D39" i="12"/>
  <c r="D38" i="12"/>
  <c r="D37" i="12"/>
  <c r="D36" i="12"/>
  <c r="D34" i="12"/>
  <c r="D33" i="12"/>
  <c r="D30" i="12"/>
  <c r="D29" i="12"/>
  <c r="D28" i="12"/>
  <c r="D21" i="12"/>
  <c r="D20" i="12"/>
  <c r="H44" i="11"/>
  <c r="H43" i="11"/>
  <c r="H42" i="11"/>
  <c r="H41" i="11"/>
  <c r="H39" i="11"/>
  <c r="H38" i="11"/>
  <c r="H37" i="11"/>
  <c r="H36" i="11"/>
  <c r="J36" i="11" s="1"/>
  <c r="H35" i="11"/>
  <c r="H34" i="11"/>
  <c r="H31" i="11"/>
  <c r="H30" i="11"/>
  <c r="H29" i="11"/>
  <c r="H28" i="11"/>
  <c r="H27" i="11"/>
  <c r="H26" i="11"/>
  <c r="H25" i="11"/>
  <c r="H16" i="11"/>
  <c r="H15" i="11"/>
  <c r="D44" i="11"/>
  <c r="D43" i="11"/>
  <c r="D42" i="11"/>
  <c r="D41" i="11"/>
  <c r="D39" i="11"/>
  <c r="D38" i="11"/>
  <c r="D37" i="11"/>
  <c r="D36" i="11"/>
  <c r="D35" i="11"/>
  <c r="D34" i="11"/>
  <c r="D31" i="11"/>
  <c r="D30" i="11"/>
  <c r="D29" i="11"/>
  <c r="D28" i="11"/>
  <c r="D27" i="11"/>
  <c r="D26" i="11"/>
  <c r="D25" i="11"/>
  <c r="D16" i="11"/>
  <c r="D15" i="11"/>
  <c r="H43" i="10"/>
  <c r="J43" i="10" s="1"/>
  <c r="H42" i="10"/>
  <c r="H41" i="10"/>
  <c r="H40" i="10"/>
  <c r="H39" i="10"/>
  <c r="H36" i="10"/>
  <c r="H35" i="10"/>
  <c r="H34" i="10"/>
  <c r="H33" i="10"/>
  <c r="J33" i="10" s="1"/>
  <c r="H32" i="10"/>
  <c r="H31" i="10"/>
  <c r="H29" i="10"/>
  <c r="J29" i="10" s="1"/>
  <c r="H28" i="10"/>
  <c r="H27" i="10"/>
  <c r="H26" i="10"/>
  <c r="H24" i="10"/>
  <c r="H23" i="10"/>
  <c r="H22" i="10"/>
  <c r="D43" i="10"/>
  <c r="D42" i="10"/>
  <c r="D41" i="10"/>
  <c r="D40" i="10"/>
  <c r="D39" i="10"/>
  <c r="D36" i="10"/>
  <c r="D35" i="10"/>
  <c r="D34" i="10"/>
  <c r="D33" i="10"/>
  <c r="D32" i="10"/>
  <c r="D31" i="10"/>
  <c r="D29" i="10"/>
  <c r="D28" i="10"/>
  <c r="D27" i="10"/>
  <c r="D26" i="10"/>
  <c r="D24" i="10"/>
  <c r="D23" i="10"/>
  <c r="D22" i="10"/>
  <c r="H43" i="9"/>
  <c r="H42" i="9"/>
  <c r="H41" i="9"/>
  <c r="H40" i="9"/>
  <c r="H39" i="9"/>
  <c r="H36" i="9"/>
  <c r="H35" i="9"/>
  <c r="H34" i="9"/>
  <c r="H33" i="9"/>
  <c r="H32" i="9"/>
  <c r="H31" i="9"/>
  <c r="H29" i="9"/>
  <c r="H28" i="9"/>
  <c r="H27" i="9"/>
  <c r="H26" i="9"/>
  <c r="H24" i="9"/>
  <c r="H23" i="9"/>
  <c r="H22" i="9"/>
  <c r="D43" i="9"/>
  <c r="D42" i="9"/>
  <c r="D41" i="9"/>
  <c r="D40" i="9"/>
  <c r="D39" i="9"/>
  <c r="D36" i="9"/>
  <c r="D35" i="9"/>
  <c r="D34" i="9"/>
  <c r="D33" i="9"/>
  <c r="D32" i="9"/>
  <c r="D31" i="9"/>
  <c r="D29" i="9"/>
  <c r="D28" i="9"/>
  <c r="D27" i="9"/>
  <c r="D26" i="9"/>
  <c r="D24" i="9"/>
  <c r="D23" i="9"/>
  <c r="D22" i="9"/>
  <c r="H43" i="8"/>
  <c r="H42" i="8"/>
  <c r="H41" i="8"/>
  <c r="H40" i="8"/>
  <c r="H39" i="8"/>
  <c r="J39" i="8" s="1"/>
  <c r="H36" i="8"/>
  <c r="H35" i="8"/>
  <c r="H34" i="8"/>
  <c r="H33" i="8"/>
  <c r="H32" i="8"/>
  <c r="J32" i="8" s="1"/>
  <c r="H31" i="8"/>
  <c r="H29" i="8"/>
  <c r="H28" i="8"/>
  <c r="H27" i="8"/>
  <c r="H26" i="8"/>
  <c r="H24" i="8"/>
  <c r="J24" i="8" s="1"/>
  <c r="H23" i="8"/>
  <c r="H22" i="8"/>
  <c r="D43" i="8"/>
  <c r="D42" i="8"/>
  <c r="D41" i="8"/>
  <c r="D40" i="8"/>
  <c r="D39" i="8"/>
  <c r="D37" i="8"/>
  <c r="D36" i="8"/>
  <c r="D35" i="8"/>
  <c r="D34" i="8"/>
  <c r="D33" i="8"/>
  <c r="D32" i="8"/>
  <c r="D31" i="8"/>
  <c r="D29" i="8"/>
  <c r="D28" i="8"/>
  <c r="D27" i="8"/>
  <c r="D26" i="8"/>
  <c r="D24" i="8"/>
  <c r="D23" i="8"/>
  <c r="D22" i="8"/>
  <c r="H76" i="7"/>
  <c r="H75" i="7"/>
  <c r="H74" i="7"/>
  <c r="H73" i="7"/>
  <c r="H71" i="7"/>
  <c r="H70" i="7"/>
  <c r="J70" i="7" s="1"/>
  <c r="H69" i="7"/>
  <c r="H68" i="7"/>
  <c r="H67" i="7"/>
  <c r="H65" i="7"/>
  <c r="H64" i="7"/>
  <c r="H63" i="7"/>
  <c r="H62" i="7"/>
  <c r="H61" i="7"/>
  <c r="H60" i="7"/>
  <c r="H59" i="7"/>
  <c r="H57" i="7"/>
  <c r="H55" i="7"/>
  <c r="H54" i="7"/>
  <c r="H52" i="7"/>
  <c r="H51" i="7"/>
  <c r="H50" i="7"/>
  <c r="J50" i="7" s="1"/>
  <c r="H47" i="7"/>
  <c r="H46" i="7"/>
  <c r="H45" i="7"/>
  <c r="H44" i="7"/>
  <c r="H40" i="7"/>
  <c r="H39" i="7"/>
  <c r="J39" i="7" s="1"/>
  <c r="H38" i="7"/>
  <c r="H37" i="7"/>
  <c r="H36" i="7"/>
  <c r="H35" i="7"/>
  <c r="J35" i="7" s="1"/>
  <c r="H34" i="7"/>
  <c r="H33" i="7"/>
  <c r="H32" i="7"/>
  <c r="H31" i="7"/>
  <c r="H30" i="7"/>
  <c r="H29" i="7"/>
  <c r="H28" i="7"/>
  <c r="J28" i="7" s="1"/>
  <c r="H27" i="7"/>
  <c r="J27" i="7" s="1"/>
  <c r="H26" i="7"/>
  <c r="H24" i="7"/>
  <c r="H23" i="7"/>
  <c r="H22" i="7"/>
  <c r="J22" i="7" s="1"/>
  <c r="H21" i="7"/>
  <c r="H20" i="7"/>
  <c r="H19" i="7"/>
  <c r="J19" i="7" s="1"/>
  <c r="H18" i="7"/>
  <c r="H17" i="7"/>
  <c r="H16" i="7"/>
  <c r="H15" i="7"/>
  <c r="D76" i="7"/>
  <c r="D75" i="7"/>
  <c r="D74" i="7"/>
  <c r="D73" i="7"/>
  <c r="D71" i="7"/>
  <c r="D70" i="7"/>
  <c r="D69" i="7"/>
  <c r="D68" i="7"/>
  <c r="D67" i="7"/>
  <c r="D64" i="7"/>
  <c r="D63" i="7"/>
  <c r="D62" i="7"/>
  <c r="D61" i="7"/>
  <c r="D60" i="7"/>
  <c r="D59" i="7"/>
  <c r="D57" i="7"/>
  <c r="D54" i="7"/>
  <c r="D52" i="7"/>
  <c r="D51" i="7"/>
  <c r="D50" i="7"/>
  <c r="D47" i="7"/>
  <c r="D46" i="7"/>
  <c r="D45" i="7"/>
  <c r="D44" i="7"/>
  <c r="D40" i="7"/>
  <c r="D39" i="7"/>
  <c r="D38" i="7"/>
  <c r="D37" i="7"/>
  <c r="D36" i="7"/>
  <c r="D35" i="7"/>
  <c r="D34" i="7"/>
  <c r="D33" i="7"/>
  <c r="D32" i="7"/>
  <c r="D31" i="7"/>
  <c r="D30" i="7"/>
  <c r="D29" i="7"/>
  <c r="D28" i="7"/>
  <c r="D27" i="7"/>
  <c r="D26" i="7"/>
  <c r="D24" i="7"/>
  <c r="D23" i="7"/>
  <c r="D22" i="7"/>
  <c r="D21" i="7"/>
  <c r="D20" i="7"/>
  <c r="D19" i="7"/>
  <c r="D18" i="7"/>
  <c r="D17" i="7"/>
  <c r="D16" i="7"/>
  <c r="D15" i="7"/>
  <c r="K16" i="17"/>
  <c r="H26" i="17"/>
  <c r="E26" i="17"/>
  <c r="E24" i="17"/>
  <c r="E23" i="17"/>
  <c r="E22" i="17"/>
  <c r="E20" i="17"/>
  <c r="E18" i="17"/>
  <c r="E16" i="17"/>
  <c r="E14" i="17"/>
  <c r="E12" i="17"/>
  <c r="E10" i="17"/>
  <c r="E8" i="17"/>
  <c r="C42" i="17"/>
  <c r="C38" i="17"/>
  <c r="C37" i="17"/>
  <c r="C36" i="17"/>
  <c r="C35" i="17"/>
  <c r="C34" i="17"/>
  <c r="C33" i="17"/>
  <c r="C32" i="17"/>
  <c r="C31" i="17"/>
  <c r="C30" i="17"/>
  <c r="Q17" i="16"/>
  <c r="P17" i="16" s="1"/>
  <c r="H17" i="16" s="1"/>
  <c r="O17" i="16"/>
  <c r="O31" i="15"/>
  <c r="J31" i="15"/>
  <c r="O30" i="15"/>
  <c r="J30" i="15"/>
  <c r="O29" i="15"/>
  <c r="J29" i="15"/>
  <c r="O28" i="15"/>
  <c r="J28" i="15"/>
  <c r="O27" i="15"/>
  <c r="J27" i="15"/>
  <c r="O26" i="15"/>
  <c r="J26" i="15"/>
  <c r="O25" i="15"/>
  <c r="J25" i="15"/>
  <c r="O24" i="15"/>
  <c r="J24" i="15"/>
  <c r="O23" i="15"/>
  <c r="J23" i="15"/>
  <c r="O22" i="15"/>
  <c r="J22" i="15"/>
  <c r="O21" i="15"/>
  <c r="J21" i="15"/>
  <c r="O20" i="15"/>
  <c r="J20" i="15"/>
  <c r="O19" i="15"/>
  <c r="J19" i="15"/>
  <c r="O18" i="15"/>
  <c r="O17" i="15"/>
  <c r="J17" i="15"/>
  <c r="O16" i="15"/>
  <c r="J16" i="15"/>
  <c r="O15" i="15"/>
  <c r="J15" i="15"/>
  <c r="O60" i="14"/>
  <c r="J60" i="14"/>
  <c r="O59" i="14"/>
  <c r="J59" i="14"/>
  <c r="J61" i="14" s="1"/>
  <c r="O58" i="14"/>
  <c r="J58" i="14"/>
  <c r="O56" i="14"/>
  <c r="J56" i="14"/>
  <c r="O55" i="14"/>
  <c r="J55" i="14"/>
  <c r="O54" i="14"/>
  <c r="J54" i="14"/>
  <c r="O53" i="14"/>
  <c r="J53" i="14"/>
  <c r="O52" i="14"/>
  <c r="J52" i="14"/>
  <c r="O51" i="14"/>
  <c r="J51" i="14"/>
  <c r="Q49" i="14"/>
  <c r="P49" i="14" s="1"/>
  <c r="D49" i="14" s="1"/>
  <c r="O49" i="14"/>
  <c r="O48" i="14"/>
  <c r="O47" i="14"/>
  <c r="J47" i="14"/>
  <c r="O46" i="14"/>
  <c r="J46" i="14"/>
  <c r="O45" i="14"/>
  <c r="J45" i="14"/>
  <c r="O44" i="14"/>
  <c r="J44" i="14"/>
  <c r="O43" i="14"/>
  <c r="J43" i="14"/>
  <c r="O42" i="14"/>
  <c r="J42" i="14"/>
  <c r="O41" i="14"/>
  <c r="J41" i="14"/>
  <c r="O39" i="14"/>
  <c r="J39" i="14"/>
  <c r="O38" i="14"/>
  <c r="J38" i="14"/>
  <c r="O37" i="14"/>
  <c r="J37" i="14"/>
  <c r="O36" i="14"/>
  <c r="J36" i="14"/>
  <c r="O34" i="14"/>
  <c r="O33" i="14"/>
  <c r="J33" i="14"/>
  <c r="Q31" i="14"/>
  <c r="P31" i="14" s="1"/>
  <c r="H31" i="14" s="1"/>
  <c r="O31" i="14"/>
  <c r="O30" i="14"/>
  <c r="J30" i="14"/>
  <c r="O29" i="14"/>
  <c r="J29" i="14"/>
  <c r="O28" i="14"/>
  <c r="J28" i="14"/>
  <c r="Q26" i="14"/>
  <c r="P26" i="14" s="1"/>
  <c r="H26" i="14" s="1"/>
  <c r="O26" i="14"/>
  <c r="Q24" i="14"/>
  <c r="P24" i="14" s="1"/>
  <c r="D24" i="14" s="1"/>
  <c r="O24" i="14"/>
  <c r="Q22" i="14"/>
  <c r="P22" i="14" s="1"/>
  <c r="D22" i="14" s="1"/>
  <c r="O22" i="14"/>
  <c r="O21" i="14"/>
  <c r="J21" i="14"/>
  <c r="O20" i="14"/>
  <c r="J20" i="14"/>
  <c r="O60" i="13"/>
  <c r="J60" i="13"/>
  <c r="O59" i="13"/>
  <c r="J59" i="13"/>
  <c r="O58" i="13"/>
  <c r="J58" i="13"/>
  <c r="J61" i="13" s="1"/>
  <c r="O56" i="13"/>
  <c r="J56" i="13"/>
  <c r="O55" i="13"/>
  <c r="J55" i="13"/>
  <c r="O54" i="13"/>
  <c r="J54" i="13"/>
  <c r="O53" i="13"/>
  <c r="J53" i="13"/>
  <c r="O52" i="13"/>
  <c r="J52" i="13"/>
  <c r="O51" i="13"/>
  <c r="J51" i="13"/>
  <c r="Q49" i="13"/>
  <c r="P49" i="13" s="1"/>
  <c r="H49" i="13" s="1"/>
  <c r="O49" i="13"/>
  <c r="O48" i="13"/>
  <c r="O47" i="13"/>
  <c r="J47" i="13"/>
  <c r="O46" i="13"/>
  <c r="J46" i="13"/>
  <c r="O45" i="13"/>
  <c r="J45" i="13"/>
  <c r="O44" i="13"/>
  <c r="J44" i="13"/>
  <c r="O43" i="13"/>
  <c r="J43" i="13"/>
  <c r="O42" i="13"/>
  <c r="J42" i="13"/>
  <c r="O41" i="13"/>
  <c r="J41" i="13"/>
  <c r="O39" i="13"/>
  <c r="J39" i="13"/>
  <c r="O38" i="13"/>
  <c r="J38" i="13"/>
  <c r="O37" i="13"/>
  <c r="J37" i="13"/>
  <c r="O36" i="13"/>
  <c r="J36" i="13"/>
  <c r="O34" i="13"/>
  <c r="O33" i="13"/>
  <c r="J33" i="13"/>
  <c r="Q31" i="13"/>
  <c r="P31" i="13" s="1"/>
  <c r="D31" i="13" s="1"/>
  <c r="O31" i="13"/>
  <c r="O30" i="13"/>
  <c r="J30" i="13"/>
  <c r="O29" i="13"/>
  <c r="J29" i="13"/>
  <c r="O28" i="13"/>
  <c r="J28" i="13"/>
  <c r="Q26" i="13"/>
  <c r="P26" i="13" s="1"/>
  <c r="H26" i="13" s="1"/>
  <c r="O26" i="13"/>
  <c r="Q24" i="13"/>
  <c r="P24" i="13" s="1"/>
  <c r="D24" i="13" s="1"/>
  <c r="O24" i="13"/>
  <c r="Q22" i="13"/>
  <c r="P22" i="13" s="1"/>
  <c r="D22" i="13" s="1"/>
  <c r="O22" i="13"/>
  <c r="O21" i="13"/>
  <c r="J21" i="13"/>
  <c r="O20" i="13"/>
  <c r="J20" i="13"/>
  <c r="O60" i="12"/>
  <c r="J60" i="12"/>
  <c r="O59" i="12"/>
  <c r="J59" i="12"/>
  <c r="O58" i="12"/>
  <c r="J58" i="12"/>
  <c r="J61" i="12" s="1"/>
  <c r="O56" i="12"/>
  <c r="J56" i="12"/>
  <c r="O55" i="12"/>
  <c r="J55" i="12"/>
  <c r="O54" i="12"/>
  <c r="J54" i="12"/>
  <c r="O53" i="12"/>
  <c r="J53" i="12"/>
  <c r="O52" i="12"/>
  <c r="J52" i="12"/>
  <c r="O51" i="12"/>
  <c r="J51" i="12"/>
  <c r="Q49" i="12"/>
  <c r="P49" i="12" s="1"/>
  <c r="D49" i="12" s="1"/>
  <c r="O49" i="12"/>
  <c r="O48" i="12"/>
  <c r="O47" i="12"/>
  <c r="J47" i="12"/>
  <c r="O46" i="12"/>
  <c r="J46" i="12"/>
  <c r="O45" i="12"/>
  <c r="J45" i="12"/>
  <c r="O44" i="12"/>
  <c r="J44" i="12"/>
  <c r="O43" i="12"/>
  <c r="J43" i="12"/>
  <c r="O42" i="12"/>
  <c r="J42" i="12"/>
  <c r="O41" i="12"/>
  <c r="J41" i="12"/>
  <c r="O39" i="12"/>
  <c r="J39" i="12"/>
  <c r="O38" i="12"/>
  <c r="J38" i="12"/>
  <c r="O37" i="12"/>
  <c r="J37" i="12"/>
  <c r="O36" i="12"/>
  <c r="J36" i="12"/>
  <c r="O34" i="12"/>
  <c r="O33" i="12"/>
  <c r="J33" i="12"/>
  <c r="Q31" i="12"/>
  <c r="P31" i="12" s="1"/>
  <c r="H31" i="12" s="1"/>
  <c r="O31" i="12"/>
  <c r="O30" i="12"/>
  <c r="J30" i="12"/>
  <c r="O29" i="12"/>
  <c r="J29" i="12"/>
  <c r="O28" i="12"/>
  <c r="J28" i="12"/>
  <c r="Q26" i="12"/>
  <c r="P26" i="12" s="1"/>
  <c r="H26" i="12" s="1"/>
  <c r="O26" i="12"/>
  <c r="Q24" i="12"/>
  <c r="P24" i="12" s="1"/>
  <c r="D24" i="12" s="1"/>
  <c r="O24" i="12"/>
  <c r="Q22" i="12"/>
  <c r="P22" i="12" s="1"/>
  <c r="D22" i="12" s="1"/>
  <c r="O22" i="12"/>
  <c r="O21" i="12"/>
  <c r="J21" i="12"/>
  <c r="O20" i="12"/>
  <c r="J20" i="12"/>
  <c r="O48" i="11"/>
  <c r="J48" i="11"/>
  <c r="O47" i="11"/>
  <c r="J47" i="11"/>
  <c r="O46" i="11"/>
  <c r="J46" i="11"/>
  <c r="J49" i="11" s="1"/>
  <c r="O44" i="11"/>
  <c r="J44" i="11"/>
  <c r="O43" i="11"/>
  <c r="J43" i="11"/>
  <c r="O42" i="11"/>
  <c r="J42" i="11"/>
  <c r="O41" i="11"/>
  <c r="J41" i="11"/>
  <c r="O39" i="11"/>
  <c r="J39" i="11"/>
  <c r="O38" i="11"/>
  <c r="J38" i="11"/>
  <c r="O37" i="11"/>
  <c r="J37" i="11"/>
  <c r="O36" i="11"/>
  <c r="O35" i="11"/>
  <c r="J35" i="11"/>
  <c r="O34" i="11"/>
  <c r="J34" i="11"/>
  <c r="Q32" i="11"/>
  <c r="P32" i="11" s="1"/>
  <c r="D32" i="11" s="1"/>
  <c r="O32" i="11"/>
  <c r="O31" i="11"/>
  <c r="J31" i="11"/>
  <c r="O30" i="11"/>
  <c r="J30" i="11"/>
  <c r="O29" i="11"/>
  <c r="J29" i="11"/>
  <c r="O28" i="11"/>
  <c r="J28" i="11"/>
  <c r="O27" i="11"/>
  <c r="J27" i="11"/>
  <c r="O26" i="11"/>
  <c r="J26" i="11"/>
  <c r="O25" i="11"/>
  <c r="J25" i="11"/>
  <c r="Q22" i="11"/>
  <c r="P22" i="11" s="1"/>
  <c r="D22" i="11" s="1"/>
  <c r="O22" i="11"/>
  <c r="Q20" i="11"/>
  <c r="P20" i="11" s="1"/>
  <c r="D20" i="11" s="1"/>
  <c r="O20" i="11"/>
  <c r="Q17" i="11"/>
  <c r="P17" i="11" s="1"/>
  <c r="D17" i="11" s="1"/>
  <c r="O17" i="11"/>
  <c r="O16" i="11"/>
  <c r="J16" i="11"/>
  <c r="O15" i="11"/>
  <c r="J15" i="11"/>
  <c r="O47" i="10"/>
  <c r="J47" i="10"/>
  <c r="O46" i="10"/>
  <c r="J46" i="10"/>
  <c r="O45" i="10"/>
  <c r="J45" i="10"/>
  <c r="J48" i="10" s="1"/>
  <c r="O43" i="10"/>
  <c r="O42" i="10"/>
  <c r="J42" i="10"/>
  <c r="O41" i="10"/>
  <c r="J41" i="10"/>
  <c r="O40" i="10"/>
  <c r="J40" i="10"/>
  <c r="O39" i="10"/>
  <c r="J39" i="10"/>
  <c r="Q37" i="10"/>
  <c r="P37" i="10" s="1"/>
  <c r="D37" i="10" s="1"/>
  <c r="O37" i="10"/>
  <c r="O36" i="10"/>
  <c r="J36" i="10"/>
  <c r="O35" i="10"/>
  <c r="J35" i="10"/>
  <c r="O34" i="10"/>
  <c r="J34" i="10"/>
  <c r="O33" i="10"/>
  <c r="O32" i="10"/>
  <c r="J32" i="10"/>
  <c r="O31" i="10"/>
  <c r="J31" i="10"/>
  <c r="O29" i="10"/>
  <c r="O28" i="10"/>
  <c r="J28" i="10"/>
  <c r="O27" i="10"/>
  <c r="J27" i="10"/>
  <c r="O26" i="10"/>
  <c r="J26" i="10"/>
  <c r="O24" i="10"/>
  <c r="J24" i="10"/>
  <c r="O23" i="10"/>
  <c r="J23" i="10"/>
  <c r="O22" i="10"/>
  <c r="J22" i="10"/>
  <c r="Q20" i="10"/>
  <c r="P20" i="10" s="1"/>
  <c r="D20" i="10" s="1"/>
  <c r="O20" i="10"/>
  <c r="O47" i="9"/>
  <c r="J47" i="9"/>
  <c r="O46" i="9"/>
  <c r="J46" i="9"/>
  <c r="O45" i="9"/>
  <c r="J45" i="9"/>
  <c r="J48" i="9" s="1"/>
  <c r="O43" i="9"/>
  <c r="J43" i="9"/>
  <c r="O42" i="9"/>
  <c r="J42" i="9"/>
  <c r="O41" i="9"/>
  <c r="J41" i="9"/>
  <c r="O40" i="9"/>
  <c r="J40" i="9"/>
  <c r="O39" i="9"/>
  <c r="J39" i="9"/>
  <c r="Q37" i="9"/>
  <c r="P37" i="9" s="1"/>
  <c r="D37" i="9" s="1"/>
  <c r="O37" i="9"/>
  <c r="O36" i="9"/>
  <c r="J36" i="9"/>
  <c r="O35" i="9"/>
  <c r="J35" i="9"/>
  <c r="O34" i="9"/>
  <c r="J34" i="9"/>
  <c r="O33" i="9"/>
  <c r="J33" i="9"/>
  <c r="O32" i="9"/>
  <c r="J32" i="9"/>
  <c r="O31" i="9"/>
  <c r="J31" i="9"/>
  <c r="O29" i="9"/>
  <c r="J29" i="9"/>
  <c r="O28" i="9"/>
  <c r="J28" i="9"/>
  <c r="O27" i="9"/>
  <c r="J27" i="9"/>
  <c r="O26" i="9"/>
  <c r="J26" i="9"/>
  <c r="O24" i="9"/>
  <c r="J24" i="9"/>
  <c r="O23" i="9"/>
  <c r="J23" i="9"/>
  <c r="O22" i="9"/>
  <c r="J22" i="9"/>
  <c r="Q20" i="9"/>
  <c r="P20" i="9" s="1"/>
  <c r="D20" i="9" s="1"/>
  <c r="O20" i="9"/>
  <c r="J48" i="8"/>
  <c r="O47" i="8"/>
  <c r="J47" i="8"/>
  <c r="O46" i="8"/>
  <c r="J46" i="8"/>
  <c r="O45" i="8"/>
  <c r="J45" i="8"/>
  <c r="O43" i="8"/>
  <c r="J43" i="8"/>
  <c r="O42" i="8"/>
  <c r="J42" i="8"/>
  <c r="O41" i="8"/>
  <c r="J41" i="8"/>
  <c r="O40" i="8"/>
  <c r="J40" i="8"/>
  <c r="O39" i="8"/>
  <c r="Q37" i="8"/>
  <c r="P37" i="8" s="1"/>
  <c r="H37" i="8" s="1"/>
  <c r="O37" i="8"/>
  <c r="O36" i="8"/>
  <c r="J36" i="8"/>
  <c r="O35" i="8"/>
  <c r="J35" i="8"/>
  <c r="O34" i="8"/>
  <c r="J34" i="8"/>
  <c r="O33" i="8"/>
  <c r="J33" i="8"/>
  <c r="O32" i="8"/>
  <c r="O31" i="8"/>
  <c r="J31" i="8"/>
  <c r="O29" i="8"/>
  <c r="J29" i="8"/>
  <c r="O28" i="8"/>
  <c r="J28" i="8"/>
  <c r="O27" i="8"/>
  <c r="J27" i="8"/>
  <c r="O26" i="8"/>
  <c r="J26" i="8"/>
  <c r="O24" i="8"/>
  <c r="O23" i="8"/>
  <c r="J23" i="8"/>
  <c r="O22" i="8"/>
  <c r="J22" i="8"/>
  <c r="Q20" i="8"/>
  <c r="P20" i="8" s="1"/>
  <c r="D20" i="8" s="1"/>
  <c r="O20" i="8"/>
  <c r="O80" i="7"/>
  <c r="J80" i="7"/>
  <c r="O79" i="7"/>
  <c r="J79" i="7"/>
  <c r="O78" i="7"/>
  <c r="J78" i="7"/>
  <c r="J81" i="7" s="1"/>
  <c r="O76" i="7"/>
  <c r="J76" i="7"/>
  <c r="O75" i="7"/>
  <c r="J75" i="7"/>
  <c r="O74" i="7"/>
  <c r="J74" i="7"/>
  <c r="O73" i="7"/>
  <c r="J73" i="7"/>
  <c r="O71" i="7"/>
  <c r="J71" i="7"/>
  <c r="O70" i="7"/>
  <c r="O69" i="7"/>
  <c r="J69" i="7"/>
  <c r="O68" i="7"/>
  <c r="J68" i="7"/>
  <c r="O67" i="7"/>
  <c r="J67" i="7"/>
  <c r="Q65" i="7"/>
  <c r="P65" i="7" s="1"/>
  <c r="D65" i="7" s="1"/>
  <c r="O65" i="7"/>
  <c r="O64" i="7"/>
  <c r="J64" i="7"/>
  <c r="O63" i="7"/>
  <c r="J63" i="7"/>
  <c r="O62" i="7"/>
  <c r="J62" i="7"/>
  <c r="O61" i="7"/>
  <c r="J61" i="7"/>
  <c r="O60" i="7"/>
  <c r="J60" i="7"/>
  <c r="O59" i="7"/>
  <c r="J59" i="7"/>
  <c r="O57" i="7"/>
  <c r="J57" i="7"/>
  <c r="Q55" i="7"/>
  <c r="P55" i="7" s="1"/>
  <c r="D55" i="7" s="1"/>
  <c r="O55" i="7"/>
  <c r="O54" i="7"/>
  <c r="J54" i="7"/>
  <c r="O52" i="7"/>
  <c r="J52" i="7"/>
  <c r="O51" i="7"/>
  <c r="J51" i="7"/>
  <c r="Q48" i="7"/>
  <c r="P48" i="7" s="1"/>
  <c r="H48" i="7" s="1"/>
  <c r="O48" i="7"/>
  <c r="O47" i="7"/>
  <c r="J47" i="7"/>
  <c r="O46" i="7"/>
  <c r="J46" i="7"/>
  <c r="O45" i="7"/>
  <c r="J45" i="7"/>
  <c r="O44" i="7"/>
  <c r="J44" i="7"/>
  <c r="Q41" i="7"/>
  <c r="P41" i="7" s="1"/>
  <c r="D41" i="7" s="1"/>
  <c r="O41" i="7"/>
  <c r="O40" i="7"/>
  <c r="J40" i="7"/>
  <c r="O39" i="7"/>
  <c r="O38" i="7"/>
  <c r="J38" i="7"/>
  <c r="O37" i="7"/>
  <c r="J37" i="7"/>
  <c r="J36" i="7"/>
  <c r="J34" i="7"/>
  <c r="J33" i="7"/>
  <c r="O32" i="7"/>
  <c r="J32" i="7"/>
  <c r="O31" i="7"/>
  <c r="J31" i="7"/>
  <c r="O30" i="7"/>
  <c r="J30" i="7"/>
  <c r="O29" i="7"/>
  <c r="J29" i="7"/>
  <c r="O28" i="7"/>
  <c r="O27" i="7"/>
  <c r="O26" i="7"/>
  <c r="J26" i="7"/>
  <c r="O24" i="7"/>
  <c r="J24" i="7"/>
  <c r="O23" i="7"/>
  <c r="J23" i="7"/>
  <c r="O22" i="7"/>
  <c r="O21" i="7"/>
  <c r="J21" i="7"/>
  <c r="J20" i="7"/>
  <c r="O18" i="7"/>
  <c r="J18" i="7"/>
  <c r="J17" i="7"/>
  <c r="J16" i="7"/>
  <c r="O15" i="7"/>
  <c r="J15" i="7"/>
  <c r="H37" i="9" l="1"/>
  <c r="H20" i="11"/>
  <c r="D26" i="12"/>
  <c r="D26" i="13"/>
  <c r="D26" i="14"/>
  <c r="H22" i="11"/>
  <c r="H49" i="12"/>
  <c r="H49" i="14"/>
  <c r="J49" i="14" s="1"/>
  <c r="J57" i="14" s="1"/>
  <c r="H20" i="10"/>
  <c r="H37" i="10"/>
  <c r="J37" i="10" s="1"/>
  <c r="J44" i="10" s="1"/>
  <c r="D31" i="12"/>
  <c r="H22" i="12"/>
  <c r="H22" i="13"/>
  <c r="J22" i="13" s="1"/>
  <c r="D31" i="14"/>
  <c r="H22" i="14"/>
  <c r="J22" i="14" s="1"/>
  <c r="H24" i="12"/>
  <c r="H24" i="13"/>
  <c r="H24" i="14"/>
  <c r="D48" i="7"/>
  <c r="H41" i="7"/>
  <c r="J41" i="7" s="1"/>
  <c r="J43" i="7" s="1"/>
  <c r="H20" i="8"/>
  <c r="J49" i="13"/>
  <c r="J57" i="13" s="1"/>
  <c r="D49" i="13"/>
  <c r="H32" i="11"/>
  <c r="J20" i="9"/>
  <c r="J25" i="9" s="1"/>
  <c r="J31" i="13"/>
  <c r="H20" i="9"/>
  <c r="H31" i="13"/>
  <c r="D17" i="16"/>
  <c r="H17" i="11"/>
  <c r="J17" i="11" s="1"/>
  <c r="J19" i="11" s="1"/>
  <c r="J31" i="14"/>
  <c r="J32" i="15"/>
  <c r="J34" i="15" s="1"/>
  <c r="J24" i="14"/>
  <c r="J22" i="12"/>
  <c r="J40" i="14"/>
  <c r="J26" i="14"/>
  <c r="J24" i="13"/>
  <c r="J26" i="12"/>
  <c r="J32" i="11"/>
  <c r="J40" i="11" s="1"/>
  <c r="J24" i="12"/>
  <c r="J40" i="13"/>
  <c r="J26" i="13"/>
  <c r="J31" i="12"/>
  <c r="J40" i="12"/>
  <c r="J49" i="12"/>
  <c r="J57" i="12" s="1"/>
  <c r="J20" i="10"/>
  <c r="J25" i="10" s="1"/>
  <c r="J45" i="11"/>
  <c r="J22" i="11"/>
  <c r="J20" i="11"/>
  <c r="J37" i="8"/>
  <c r="J44" i="8" s="1"/>
  <c r="J30" i="10"/>
  <c r="J37" i="9"/>
  <c r="J44" i="9" s="1"/>
  <c r="J50" i="9" s="1"/>
  <c r="J20" i="8"/>
  <c r="J25" i="8" s="1"/>
  <c r="J30" i="9"/>
  <c r="J30" i="8"/>
  <c r="J65" i="7"/>
  <c r="J72" i="7" s="1"/>
  <c r="J25" i="7"/>
  <c r="J77" i="7"/>
  <c r="J55" i="7"/>
  <c r="J58" i="7" s="1"/>
  <c r="J48" i="7"/>
  <c r="J53" i="7" s="1"/>
  <c r="J32" i="17" l="1"/>
  <c r="L5" i="9"/>
  <c r="J38" i="17"/>
  <c r="L5" i="15"/>
  <c r="J35" i="14"/>
  <c r="J63" i="14" s="1"/>
  <c r="J35" i="12"/>
  <c r="J63" i="12" s="1"/>
  <c r="J35" i="13"/>
  <c r="J63" i="13" s="1"/>
  <c r="J50" i="10"/>
  <c r="J24" i="11"/>
  <c r="J51" i="11" s="1"/>
  <c r="J50" i="8"/>
  <c r="J83" i="7"/>
  <c r="L5" i="11" l="1"/>
  <c r="J34" i="17"/>
  <c r="J33" i="17"/>
  <c r="L5" i="10"/>
  <c r="L5" i="13"/>
  <c r="J36" i="17"/>
  <c r="L5" i="12"/>
  <c r="J35" i="17"/>
  <c r="J37" i="17"/>
  <c r="L5" i="14"/>
  <c r="L5" i="7"/>
  <c r="J30" i="17"/>
  <c r="J31" i="17"/>
  <c r="L5" i="8"/>
  <c r="L14" i="16" l="1"/>
  <c r="J17" i="16" s="1"/>
  <c r="J41" i="17"/>
  <c r="J21" i="16" l="1"/>
  <c r="J19" i="16"/>
  <c r="J20" i="16"/>
  <c r="J22" i="16" l="1"/>
  <c r="J24" i="16" s="1"/>
  <c r="J42" i="17" s="1"/>
  <c r="J43" i="17" s="1"/>
  <c r="L4" i="14" l="1"/>
  <c r="L4" i="8"/>
  <c r="L4" i="13"/>
  <c r="L4" i="7"/>
  <c r="L45" i="17"/>
  <c r="J47" i="17" s="1"/>
  <c r="L4" i="12"/>
  <c r="L4" i="11"/>
  <c r="L4" i="10"/>
  <c r="L4" i="15"/>
  <c r="L4" i="9"/>
</calcChain>
</file>

<file path=xl/sharedStrings.xml><?xml version="1.0" encoding="utf-8"?>
<sst xmlns="http://schemas.openxmlformats.org/spreadsheetml/2006/main" count="2493" uniqueCount="723">
  <si>
    <t>TERMS AND CONDITIONS OF USE-REHABILITATION LIABILITY CALCULATOR</t>
  </si>
  <si>
    <t>Bond Calculator Version: 20260424</t>
  </si>
  <si>
    <t>Site Registration</t>
  </si>
  <si>
    <t>Complete the following fields prior to calculating the Rehabilitation Liability.</t>
  </si>
  <si>
    <t>Site Name:</t>
  </si>
  <si>
    <t>Tenement No.</t>
  </si>
  <si>
    <t>Site Owner:</t>
  </si>
  <si>
    <t>Site Operator:</t>
  </si>
  <si>
    <t>Current Bond</t>
  </si>
  <si>
    <t>Date of last Rehabilitation Bond Review:</t>
  </si>
  <si>
    <t>Site Contact:</t>
  </si>
  <si>
    <t>Position:</t>
  </si>
  <si>
    <t>Address:</t>
  </si>
  <si>
    <t>Phone:</t>
  </si>
  <si>
    <t>Email:</t>
  </si>
  <si>
    <t>Site Description</t>
  </si>
  <si>
    <t>The following site specific information is requested to provide background information in the context of calculating the rehabilitation bond.</t>
  </si>
  <si>
    <t>Summary of Operational Activities</t>
  </si>
  <si>
    <t xml:space="preserve">Total Annual production: </t>
  </si>
  <si>
    <t>Projected completion date:</t>
  </si>
  <si>
    <t>Tenement area (ha):</t>
  </si>
  <si>
    <t>Approved maximum disturbance area:</t>
  </si>
  <si>
    <t>Current disturbance area:</t>
  </si>
  <si>
    <t>Approval Criteria:</t>
  </si>
  <si>
    <t>Approved final land use:</t>
  </si>
  <si>
    <t>Assumptions and Rehabilitation Requirements</t>
  </si>
  <si>
    <t>List or record any assumptions made when completing this tool:</t>
  </si>
  <si>
    <t>Table of Values (TOV)  - Rates Applied throughout the Spreadsheets.</t>
  </si>
  <si>
    <t>ID</t>
  </si>
  <si>
    <t>Description</t>
  </si>
  <si>
    <t>Option</t>
  </si>
  <si>
    <t>Rate</t>
  </si>
  <si>
    <t>Unit</t>
  </si>
  <si>
    <t>X001</t>
  </si>
  <si>
    <t>Remove all temporary buildings and associated equipment from the exploration camp area.</t>
  </si>
  <si>
    <t>item</t>
  </si>
  <si>
    <t>X002</t>
  </si>
  <si>
    <t>Load, cart and dispose of low-level contaminated soil off site to a licensed landfill.  Assumes cartage to a local landfill.  Add $50/m3 for cartage to regional landfill.</t>
  </si>
  <si>
    <t>m3</t>
  </si>
  <si>
    <t>X003</t>
  </si>
  <si>
    <t>Removal of rubbish from the site to a licensed landfill facility (ie. General waste, sample bags, bore casing off cuts, etc)</t>
  </si>
  <si>
    <t>@</t>
  </si>
  <si>
    <t>X004</t>
  </si>
  <si>
    <t>Fill and cover and pits/sumps that may have been required for toilets and/or kitchen waste water.</t>
  </si>
  <si>
    <t>Remove activity</t>
  </si>
  <si>
    <t>X005</t>
  </si>
  <si>
    <t>Minor pushing of the windrows, final trim, &amp; deep rip the camp area (minor shaping and landscaping)</t>
  </si>
  <si>
    <t>Ha</t>
  </si>
  <si>
    <t>X006</t>
  </si>
  <si>
    <t>Access roads &amp; vehicle park-up areas - Minor pushing of the windrows, final trim, &amp; deep rip.</t>
  </si>
  <si>
    <t>X007</t>
  </si>
  <si>
    <t>Structural water management works, banks, drains and sediment dams required following rehabilitation.</t>
  </si>
  <si>
    <t>X008</t>
  </si>
  <si>
    <t>Maintenance of the rehabilitated areas that are intended to be part of the ongoing closure of the site.</t>
  </si>
  <si>
    <t>X009</t>
  </si>
  <si>
    <t>Drill Pads - Minor pushing of the batters, fill in pits, sumps and dams used to collect drill fluids, final trim, rock rake &amp; deep rip.</t>
  </si>
  <si>
    <t>X010</t>
  </si>
  <si>
    <t>Drill Holes - Cap and seal any open bore holes, backfill with cuttings.</t>
  </si>
  <si>
    <t>X011</t>
  </si>
  <si>
    <t>Drill Holes or water bores- Grout (with concrete) cap and seal bore holes (ie. where sealing aquifers).</t>
  </si>
  <si>
    <t>X012</t>
  </si>
  <si>
    <t>Access roads  - Minor pushing of the windrows, final trim, &amp; deep rip.</t>
  </si>
  <si>
    <t>X013</t>
  </si>
  <si>
    <t>Costeans/Trenches - backfill any costeans/trenches that may have been used.</t>
  </si>
  <si>
    <t>Select from List</t>
  </si>
  <si>
    <t>X014</t>
  </si>
  <si>
    <t>haul distance &lt; =1km</t>
  </si>
  <si>
    <t>X015</t>
  </si>
  <si>
    <t>haul distance &gt; 1km -2km</t>
  </si>
  <si>
    <t>X016</t>
  </si>
  <si>
    <t>haul distance &gt; 2km-5km</t>
  </si>
  <si>
    <t>X017</t>
  </si>
  <si>
    <t>haul distance &gt; 5km</t>
  </si>
  <si>
    <t>X018</t>
  </si>
  <si>
    <t>Adits -Seal small adits (cross-sectional area &lt;=9m2)         - backfill with appropriate material</t>
  </si>
  <si>
    <t>X019</t>
  </si>
  <si>
    <t>Use 1st principles to build a rate</t>
  </si>
  <si>
    <t>X020</t>
  </si>
  <si>
    <t>X021</t>
  </si>
  <si>
    <t>X022</t>
  </si>
  <si>
    <t>X023</t>
  </si>
  <si>
    <t>Shafts -Seal small shafts (depth &lt;=3m) - backfill using appropriate material</t>
  </si>
  <si>
    <r>
      <t>m</t>
    </r>
    <r>
      <rPr>
        <vertAlign val="superscript"/>
        <sz val="8"/>
        <rFont val="Arial"/>
        <family val="2"/>
      </rPr>
      <t>3</t>
    </r>
  </si>
  <si>
    <t>X024</t>
  </si>
  <si>
    <t>X025</t>
  </si>
  <si>
    <t>X026</t>
  </si>
  <si>
    <t>X027</t>
  </si>
  <si>
    <t>X028</t>
  </si>
  <si>
    <t>Bulk Samples - Backfill the bulk sample pit</t>
  </si>
  <si>
    <t>X029</t>
  </si>
  <si>
    <t>X030</t>
  </si>
  <si>
    <t>X031</t>
  </si>
  <si>
    <t>X032</t>
  </si>
  <si>
    <t>X033</t>
  </si>
  <si>
    <t>Bulk Samples - Minor pushing of the batters of the pit, final trim, rock rake &amp; deep rip.</t>
  </si>
  <si>
    <t>X034</t>
  </si>
  <si>
    <t>Structural water management works, banks and drains around drill site(s)</t>
  </si>
  <si>
    <t>X035</t>
  </si>
  <si>
    <t>Removal of grid pegs (pull them out and take off site)</t>
  </si>
  <si>
    <t>X036</t>
  </si>
  <si>
    <t>Construct/repair standard stock fence around the site</t>
  </si>
  <si>
    <t>m</t>
  </si>
  <si>
    <t>X037</t>
  </si>
  <si>
    <t>Minor pushing of the diversion drains, contour banks, final trim, &amp; deep rip (minor shaping and landscaping).</t>
  </si>
  <si>
    <t>X038</t>
  </si>
  <si>
    <t>Backfill dams and reinstate to natural surface.</t>
  </si>
  <si>
    <t>X039</t>
  </si>
  <si>
    <t>X040</t>
  </si>
  <si>
    <t>X041</t>
  </si>
  <si>
    <t>X042</t>
  </si>
  <si>
    <t>X043</t>
  </si>
  <si>
    <t>Remove erosion and sediment controls structures (silt fence, etc)</t>
  </si>
  <si>
    <t>Item</t>
  </si>
  <si>
    <t>X044</t>
  </si>
  <si>
    <t>Source (where availiable onsite), cart, spread and lightly rip topsoil</t>
  </si>
  <si>
    <t>X045</t>
  </si>
  <si>
    <t>X046</t>
  </si>
  <si>
    <t>X047</t>
  </si>
  <si>
    <t>X048</t>
  </si>
  <si>
    <t>X049</t>
  </si>
  <si>
    <t>Soil amelioration (adding gypsum, lime, etc)</t>
  </si>
  <si>
    <t>X050</t>
  </si>
  <si>
    <r>
      <t xml:space="preserve">Direct seeding (native </t>
    </r>
    <r>
      <rPr>
        <i/>
        <sz val="8"/>
        <color indexed="8"/>
        <rFont val="Arial"/>
        <family val="2"/>
      </rPr>
      <t>tree</t>
    </r>
    <r>
      <rPr>
        <sz val="8"/>
        <color indexed="8"/>
        <rFont val="Arial"/>
        <family val="2"/>
      </rPr>
      <t xml:space="preserve"> species OR using native grasses), with single application of fertiliser</t>
    </r>
  </si>
  <si>
    <t>X051</t>
  </si>
  <si>
    <r>
      <t>Direct seeding (</t>
    </r>
    <r>
      <rPr>
        <i/>
        <sz val="8"/>
        <color indexed="8"/>
        <rFont val="Arial"/>
        <family val="2"/>
      </rPr>
      <t>pasture</t>
    </r>
    <r>
      <rPr>
        <sz val="8"/>
        <color indexed="8"/>
        <rFont val="Arial"/>
        <family val="2"/>
      </rPr>
      <t xml:space="preserve"> grass species), with single application of fertiliser</t>
    </r>
  </si>
  <si>
    <t>X052</t>
  </si>
  <si>
    <t>Single application of fertiliser (trees)</t>
  </si>
  <si>
    <t>X053</t>
  </si>
  <si>
    <t>Single application of fertiliser (pasture)</t>
  </si>
  <si>
    <t>X054</t>
  </si>
  <si>
    <t>Planting tubestock (&lt; 15cm)</t>
  </si>
  <si>
    <t>X055</t>
  </si>
  <si>
    <t>Planting mature trees (&gt;15cm)</t>
  </si>
  <si>
    <t>X056</t>
  </si>
  <si>
    <t>Hydro-seeding with straw mulching and bitumen tack.</t>
  </si>
  <si>
    <r>
      <t>m</t>
    </r>
    <r>
      <rPr>
        <vertAlign val="superscript"/>
        <sz val="8"/>
        <rFont val="Arial"/>
        <family val="2"/>
      </rPr>
      <t>2</t>
    </r>
  </si>
  <si>
    <t>X057</t>
  </si>
  <si>
    <t>Access roads - Minor pushing of the windrows, final trim, &amp; deep rip in preparation for seeding.</t>
  </si>
  <si>
    <t/>
  </si>
  <si>
    <t>X058</t>
  </si>
  <si>
    <t>Mobilisation &amp; Demobilisation (third party contractor rates apply).</t>
  </si>
  <si>
    <t>X059</t>
  </si>
  <si>
    <t>Distance &lt; =50km</t>
  </si>
  <si>
    <t>X060</t>
  </si>
  <si>
    <t>Distance &gt; 50km -100km</t>
  </si>
  <si>
    <t>X061</t>
  </si>
  <si>
    <t>Distance &gt; 100km -150km</t>
  </si>
  <si>
    <t>X062</t>
  </si>
  <si>
    <t>Distance &gt; 200km</t>
  </si>
  <si>
    <t>X063</t>
  </si>
  <si>
    <t>Pest and Weed Management</t>
  </si>
  <si>
    <t>X064</t>
  </si>
  <si>
    <t>Project Management &amp; Surveying</t>
  </si>
  <si>
    <t>%</t>
  </si>
  <si>
    <t>X065</t>
  </si>
  <si>
    <t>Contingency</t>
  </si>
  <si>
    <t>X066</t>
  </si>
  <si>
    <t>Maintenance of previously successfully rehabilitated areas on the site.</t>
  </si>
  <si>
    <t>X067</t>
  </si>
  <si>
    <r>
      <t xml:space="preserve">(Only if specifically required): </t>
    </r>
    <r>
      <rPr>
        <sz val="8"/>
        <rFont val="Arial"/>
        <family val="2"/>
      </rPr>
      <t xml:space="preserve">Apply engineered treatment as required (i.e. additional compaction, capillary breaks, etc) - design in accordance with the approval/permit commitments. Generic rate assumes cap thickness of approximately 1-1.5m.  </t>
    </r>
  </si>
  <si>
    <t>X068</t>
  </si>
  <si>
    <t>Areas cleared ahead of extraction - re-establish vegetation commensurate with surrounding vegetation</t>
  </si>
  <si>
    <t>X069</t>
  </si>
  <si>
    <t>Areas topsoil stripped ahead of extraction - source cart and respread topsoil</t>
  </si>
  <si>
    <t>X070</t>
  </si>
  <si>
    <t>X071</t>
  </si>
  <si>
    <t>X072</t>
  </si>
  <si>
    <t>X073</t>
  </si>
  <si>
    <t>X074</t>
  </si>
  <si>
    <t>Backfilling faces and benches as specified in the work plan</t>
  </si>
  <si>
    <t>X075</t>
  </si>
  <si>
    <t>X076</t>
  </si>
  <si>
    <t>X077</t>
  </si>
  <si>
    <t>X078</t>
  </si>
  <si>
    <t>X079</t>
  </si>
  <si>
    <t>Clean small surface water management dams (include all structures) to be retained after mine closure  - make safe and minor earthworks to stabilise the water management structure. ( &lt; 5 ML)</t>
  </si>
  <si>
    <t>dam</t>
  </si>
  <si>
    <t>X080</t>
  </si>
  <si>
    <t>X081</t>
  </si>
  <si>
    <t>Construct a standard stock fence around the site</t>
  </si>
  <si>
    <t>X082</t>
  </si>
  <si>
    <t>Construct safety berm, catch bench and barrier around the pit perimeter (required where final pit will include steep faces).</t>
  </si>
  <si>
    <t>X083</t>
  </si>
  <si>
    <t>Construction of an access and egress ramp in the voids that will be left post mine closure.</t>
  </si>
  <si>
    <t>X084</t>
  </si>
  <si>
    <t>doze to &lt; 18 degrees (50m push)</t>
  </si>
  <si>
    <t>X085</t>
  </si>
  <si>
    <t>doze to &lt; 18 degrees (50m - 75m push)</t>
  </si>
  <si>
    <t>X086</t>
  </si>
  <si>
    <t>doze to &lt; 18 degrees (75m - 100m push)</t>
  </si>
  <si>
    <t>X087</t>
  </si>
  <si>
    <t>doze to &lt; 18 degrees (150m push)</t>
  </si>
  <si>
    <t>X088</t>
  </si>
  <si>
    <t>X089</t>
  </si>
  <si>
    <t>Creek diversion - Vegetation maintenance</t>
  </si>
  <si>
    <t>X090</t>
  </si>
  <si>
    <t>Demolish / relocate FIXED process infrastructure (ie. crushers, screening plants, pug mills and wet mix plants)</t>
  </si>
  <si>
    <t>X091</t>
  </si>
  <si>
    <t>Demolish and remove ground level conveyors, transfer stations &amp; gantries (scrapping only - does not include dismantling for re-use at another site)</t>
  </si>
  <si>
    <t>X092</t>
  </si>
  <si>
    <t xml:space="preserve">Demolish and remove industrial buildings such as workshops and large sheds </t>
  </si>
  <si>
    <t>X093</t>
  </si>
  <si>
    <t>Demolish and remove overhead conveyors, transfer stations &amp; gantries (scrapping only - does not include dismantling for re-use at another site)</t>
  </si>
  <si>
    <t>X094</t>
  </si>
  <si>
    <t>Demolish and remove overland conveyors, transfer stations &amp; gantries (scrapping only - does not include dismantling for re-use at another site).</t>
  </si>
  <si>
    <t>X095</t>
  </si>
  <si>
    <t>Demolish and remove small buildings / tanks</t>
  </si>
  <si>
    <t>X096</t>
  </si>
  <si>
    <t>Demolish thickener tanks or flocc tanks (variable rate for small, medium and large structures).</t>
  </si>
  <si>
    <t>X097</t>
  </si>
  <si>
    <t>Small &lt;=10m diameter</t>
  </si>
  <si>
    <t>X098</t>
  </si>
  <si>
    <t>Medium &gt;10- 30m diameter</t>
  </si>
  <si>
    <t>X099</t>
  </si>
  <si>
    <t>Large &gt; 30m diameter</t>
  </si>
  <si>
    <t>X100</t>
  </si>
  <si>
    <t>De-watering Bores</t>
  </si>
  <si>
    <t>X101</t>
  </si>
  <si>
    <t>Direct seeding/fertiliser (pasture grass species)</t>
  </si>
  <si>
    <t>X102</t>
  </si>
  <si>
    <t>Direct seeding/fertiliser (tree species)</t>
  </si>
  <si>
    <t>X103</t>
  </si>
  <si>
    <t>Dirty Water Dams (include all structures)  (Drain and remove sediments from the floor of the dam to enable it to be converted into clean water structure).</t>
  </si>
  <si>
    <t>X104</t>
  </si>
  <si>
    <t>Disconnect electricity supply</t>
  </si>
  <si>
    <t>X105</t>
  </si>
  <si>
    <t>Disconnect and terminate services</t>
  </si>
  <si>
    <t>X106</t>
  </si>
  <si>
    <t>Do you have a documented Mine Closure &amp; Decommissioning Strategy? If no this item applies.</t>
  </si>
  <si>
    <t>X107</t>
  </si>
  <si>
    <t xml:space="preserve">Drill &amp; Blast  faces to make safe.                 </t>
  </si>
  <si>
    <t>X108</t>
  </si>
  <si>
    <t>Engineering treatment to stabilise the faces on the benches (compaction of the backfill)</t>
  </si>
  <si>
    <t>X109</t>
  </si>
  <si>
    <t>Erect a 6' chain mesh security fence around the adit to restrict access to the site where the adit can not be backfilled.</t>
  </si>
  <si>
    <t>X110</t>
  </si>
  <si>
    <t>Erect a 6' chain mesh security fence around the adit to restrict access to the site where the shaft can not be backfilled.</t>
  </si>
  <si>
    <t>X111</t>
  </si>
  <si>
    <t>Erect a 6' chain mesh security fence around the top face where the final pit will include steep faces</t>
  </si>
  <si>
    <t>X112</t>
  </si>
  <si>
    <t>Fill and cap exploration bores</t>
  </si>
  <si>
    <t>X113</t>
  </si>
  <si>
    <t>Final trim, rock rake &amp; deep rip</t>
  </si>
  <si>
    <t>X114</t>
  </si>
  <si>
    <t>Has a Contaminated Site Assessment been undertaken for the site?  If not this item applies</t>
  </si>
  <si>
    <t>X115</t>
  </si>
  <si>
    <t>Install gate or grill over the adit (ie. Where site might be used by bats).</t>
  </si>
  <si>
    <t>X116</t>
  </si>
  <si>
    <t>Leach pits/ponds &amp; evaporation ponds - drain and remove contaminated sediments to appropriately constructed TSF.</t>
  </si>
  <si>
    <t>X117</t>
  </si>
  <si>
    <t>X118</t>
  </si>
  <si>
    <t>X119</t>
  </si>
  <si>
    <t>X120</t>
  </si>
  <si>
    <t>X121</t>
  </si>
  <si>
    <t>Load, cart and dispose of contaminated soil (ie. chemical spillage in / around storage sheds) off site to a licensed landfill</t>
  </si>
  <si>
    <t>X122</t>
  </si>
  <si>
    <t>Load, cart and dispose of contaminated soil (ie. Hydrocarbon, chemical spillage in / around storage sheds or fuel storage areas).  The materials is to be taken off site to a licensed landfill or disposal facility.</t>
  </si>
  <si>
    <t>X123</t>
  </si>
  <si>
    <r>
      <t>Long term maintenance of Creek diversion -</t>
    </r>
    <r>
      <rPr>
        <i/>
        <sz val="8"/>
        <rFont val="Arial"/>
        <family val="2"/>
      </rPr>
      <t xml:space="preserve"> Channel constructed through backfilled material</t>
    </r>
  </si>
  <si>
    <t>X124</t>
  </si>
  <si>
    <t xml:space="preserve">Major bulk pushing of  Batter faces (cut and fill) to grade specified in the work plans (i.e. &lt; 18 degrees). </t>
  </si>
  <si>
    <t>X125</t>
  </si>
  <si>
    <t>X126</t>
  </si>
  <si>
    <t>X127</t>
  </si>
  <si>
    <t>X128</t>
  </si>
  <si>
    <t>X129</t>
  </si>
  <si>
    <r>
      <t>Major bulk pushing to achieve grades nominated in the approval/permit (i.e. &lt; 18</t>
    </r>
    <r>
      <rPr>
        <vertAlign val="superscript"/>
        <sz val="8"/>
        <rFont val="Arial"/>
        <family val="2"/>
      </rPr>
      <t>o</t>
    </r>
    <r>
      <rPr>
        <sz val="8"/>
        <rFont val="Arial"/>
        <family val="2"/>
      </rPr>
      <t>)</t>
    </r>
  </si>
  <si>
    <t>X130</t>
  </si>
  <si>
    <t>X131</t>
  </si>
  <si>
    <t>X132</t>
  </si>
  <si>
    <t>X133</t>
  </si>
  <si>
    <t>X134</t>
  </si>
  <si>
    <t>Minor earthworks and maintenance of mine subsidence areas</t>
  </si>
  <si>
    <t>X135</t>
  </si>
  <si>
    <t>Shaping or levelling of minor excavations, batters and stockpiles, final trim, rock rake and deep rip</t>
  </si>
  <si>
    <t>X136</t>
  </si>
  <si>
    <t>Minor pushing, final trim, rock rake &amp; deep rip (minor shaping and landscaping)</t>
  </si>
  <si>
    <t>X137</t>
  </si>
  <si>
    <t>X138</t>
  </si>
  <si>
    <t>X139</t>
  </si>
  <si>
    <t>X140</t>
  </si>
  <si>
    <t>X141</t>
  </si>
  <si>
    <t>X142</t>
  </si>
  <si>
    <t>X143</t>
  </si>
  <si>
    <t>X144</t>
  </si>
  <si>
    <t>X145</t>
  </si>
  <si>
    <t>X146</t>
  </si>
  <si>
    <t>X147</t>
  </si>
  <si>
    <t>X148</t>
  </si>
  <si>
    <t>X149</t>
  </si>
  <si>
    <t>X150</t>
  </si>
  <si>
    <t>X151</t>
  </si>
  <si>
    <t>X152</t>
  </si>
  <si>
    <t>Onsite remediation of hydrocarbon contaminated soils</t>
  </si>
  <si>
    <t>X153</t>
  </si>
  <si>
    <t>&lt; =50m3</t>
  </si>
  <si>
    <t>X154</t>
  </si>
  <si>
    <t>&gt; 50m3 -100m3</t>
  </si>
  <si>
    <t>X155</t>
  </si>
  <si>
    <t>&gt; 100m3 -500m3</t>
  </si>
  <si>
    <t>X156</t>
  </si>
  <si>
    <t>&gt; 500m3</t>
  </si>
  <si>
    <t>X157</t>
  </si>
  <si>
    <t>OR Backfill and reinstate dam to natural surface.</t>
  </si>
  <si>
    <t>X158</t>
  </si>
  <si>
    <t>X159</t>
  </si>
  <si>
    <t>X160</t>
  </si>
  <si>
    <t>X161</t>
  </si>
  <si>
    <t>X162</t>
  </si>
  <si>
    <t>Removal and disposal of oil contaminated water from bunded areas and sumps.</t>
  </si>
  <si>
    <t>Lt</t>
  </si>
  <si>
    <t>X163</t>
  </si>
  <si>
    <t>Removal of general rubbish from the site to a licensed landfill facility</t>
  </si>
  <si>
    <t>X164</t>
  </si>
  <si>
    <t>Removal of powerlines (this includes disconnection, rolling up the wires and removing the poles).  It does not inlcude the removal of substations.</t>
  </si>
  <si>
    <t>km</t>
  </si>
  <si>
    <t>X165</t>
  </si>
  <si>
    <t>Removal of underground fuel storage tank (UST) above 5,000L and below 15,000L capacity (include all site facilities and is to include pipes, bunds, etc)</t>
  </si>
  <si>
    <t>X166</t>
  </si>
  <si>
    <t xml:space="preserve">Removal of underground fuel storage tank (UST) up to 5,000L capacity (include all site facilities and is to include pipes, bunds, etc) </t>
  </si>
  <si>
    <t>X167</t>
  </si>
  <si>
    <t>Remove all mobile plant and equipment from the site</t>
  </si>
  <si>
    <t>X168</t>
  </si>
  <si>
    <t xml:space="preserve">Remove Bitumen sealed areas (car park, etc).  Includes disposal of waste bitumen material off site at an appropriate landfill facility. </t>
  </si>
  <si>
    <t>X169</t>
  </si>
  <si>
    <t>Remove carbonaceous material (spillage or otherwise) from footprint of the Coal Handling Preparation Plant (CHPP), Run of Mine (ROM) &amp; Product stockpiles.</t>
  </si>
  <si>
    <t>X170</t>
  </si>
  <si>
    <t>Remove carbonaceous material (spillage or otherwise) from footprint of the CHPP, ROM &amp; Product stockpiles.</t>
  </si>
  <si>
    <t>X171</t>
  </si>
  <si>
    <t>X172</t>
  </si>
  <si>
    <t>X173</t>
  </si>
  <si>
    <t>X174</t>
  </si>
  <si>
    <t xml:space="preserve">Remove carbonaceous material from roadways (coal / rejects spillage) </t>
  </si>
  <si>
    <t>X175</t>
  </si>
  <si>
    <t>X176</t>
  </si>
  <si>
    <t>X177</t>
  </si>
  <si>
    <t>X178</t>
  </si>
  <si>
    <t>X179</t>
  </si>
  <si>
    <t xml:space="preserve">Remove Concrete pads &amp; footings (&lt; 300mm thickness).  </t>
  </si>
  <si>
    <t>X180</t>
  </si>
  <si>
    <t>Remove Concrete pads, footings and foundations (&gt; 300mm thickness)</t>
  </si>
  <si>
    <t>X181</t>
  </si>
  <si>
    <t>Remove gantry/head frames over shafts</t>
  </si>
  <si>
    <t>X182</t>
  </si>
  <si>
    <t>Remove Rail Loop and spur, including cutting and removing the tracks, sleepers and ballast material.</t>
  </si>
  <si>
    <t>X183</t>
  </si>
  <si>
    <t>Remove unwanted material (spillage or otherwise) from footprint of the Plant, Mill &amp; Product stockpiles.</t>
  </si>
  <si>
    <t>X184</t>
  </si>
  <si>
    <t>X185</t>
  </si>
  <si>
    <t>X186</t>
  </si>
  <si>
    <t>X187</t>
  </si>
  <si>
    <t>X188</t>
  </si>
  <si>
    <t xml:space="preserve">Remove unwanted material from roadways (e.g. spillage) </t>
  </si>
  <si>
    <t>X189</t>
  </si>
  <si>
    <t>X190</t>
  </si>
  <si>
    <t>X191</t>
  </si>
  <si>
    <t>X192</t>
  </si>
  <si>
    <t>X193</t>
  </si>
  <si>
    <t>Re-profiling unsealed roads using dozer to blend in with surrounding landform and drainage, final trim, rock rake &amp; deep rip</t>
  </si>
  <si>
    <t>X194</t>
  </si>
  <si>
    <t>Reshape deep rip and ameliorate sealed and unsealed roads</t>
  </si>
  <si>
    <t>X195</t>
  </si>
  <si>
    <t>Reshape rail spur and load out area</t>
  </si>
  <si>
    <t>X196</t>
  </si>
  <si>
    <t>Reshape, deep rip and ameliorate sealed unsealed roads</t>
  </si>
  <si>
    <t>X197</t>
  </si>
  <si>
    <t>Reshape, deep rip, ameliorate and seed all internal access roads and tracks outside the mine or quarry footprint area.</t>
  </si>
  <si>
    <t>X198</t>
  </si>
  <si>
    <t>Reshape, deep rip, ameliorate and seed exploration lines / areas</t>
  </si>
  <si>
    <t>X199</t>
  </si>
  <si>
    <t xml:space="preserve">Reshaping (earthworks only) of the walls &amp; surrounds of the tailings storage </t>
  </si>
  <si>
    <t>X200</t>
  </si>
  <si>
    <t>Reshaping of overburden and mullock heaps on the site.</t>
  </si>
  <si>
    <t>X201</t>
  </si>
  <si>
    <t>Seal &amp; rehabilitate ventilation fans.</t>
  </si>
  <si>
    <t>X202</t>
  </si>
  <si>
    <r>
      <t>Seal adits (cross-sectional area &gt; 9m</t>
    </r>
    <r>
      <rPr>
        <vertAlign val="superscript"/>
        <sz val="8"/>
        <rFont val="Arial"/>
        <family val="2"/>
      </rPr>
      <t>2</t>
    </r>
    <r>
      <rPr>
        <sz val="8"/>
        <rFont val="Arial"/>
        <family val="2"/>
      </rPr>
      <t>) - backfill the adit against a concrete bulk head with drainage slots.  The rate includes some reshaping of batters around the adit entrance.</t>
    </r>
  </si>
  <si>
    <t>X203</t>
  </si>
  <si>
    <r>
      <t>Seal small shafts (cross-sectional area &lt; =9m</t>
    </r>
    <r>
      <rPr>
        <vertAlign val="superscript"/>
        <sz val="8"/>
        <rFont val="Arial"/>
        <family val="2"/>
      </rPr>
      <t>2</t>
    </r>
    <r>
      <rPr>
        <sz val="8"/>
        <rFont val="Arial"/>
        <family val="2"/>
      </rPr>
      <t>) using a reinforced concrete slab constructed on a deck support for the slab inserted into the ground.</t>
    </r>
  </si>
  <si>
    <t>ea</t>
  </si>
  <si>
    <t>X204</t>
  </si>
  <si>
    <r>
      <t>Seal small adits (cross-sectional area &lt; =9m</t>
    </r>
    <r>
      <rPr>
        <vertAlign val="superscript"/>
        <sz val="8"/>
        <rFont val="Arial"/>
        <family val="2"/>
      </rPr>
      <t>2</t>
    </r>
    <r>
      <rPr>
        <sz val="8"/>
        <rFont val="Arial"/>
        <family val="2"/>
      </rPr>
      <t xml:space="preserve">) - install 500mm concrete plug 3m back from adit and backfill with appropriate material.  The rate includes some reshaping of the batter around the entrance of the adit.  </t>
    </r>
    <r>
      <rPr>
        <i/>
        <sz val="8"/>
        <rFont val="Arial"/>
        <family val="2"/>
      </rPr>
      <t>(see other below for alternative where appropriate.)</t>
    </r>
  </si>
  <si>
    <t>X205</t>
  </si>
  <si>
    <r>
      <t>Source local material (where availiable onsite), cart and spread suitable material to cap the tailings storage (</t>
    </r>
    <r>
      <rPr>
        <i/>
        <sz val="8"/>
        <rFont val="Arial"/>
        <family val="2"/>
      </rPr>
      <t xml:space="preserve">cap thickness determined by approval/licence) </t>
    </r>
  </si>
  <si>
    <t>X206</t>
  </si>
  <si>
    <t>X207</t>
  </si>
  <si>
    <t>X208</t>
  </si>
  <si>
    <t>X209</t>
  </si>
  <si>
    <t>X210</t>
  </si>
  <si>
    <t>Structural water management works, banks, drains, rock lined waterways, sediment dams</t>
  </si>
  <si>
    <t>X211</t>
  </si>
  <si>
    <t>Structural works, banks, rock lined waterways</t>
  </si>
  <si>
    <t>X212</t>
  </si>
  <si>
    <t>The restoration, care and maintenance of items that have historical significance and that are to be retained after the cessation of mining or quarrying</t>
  </si>
  <si>
    <t>X213</t>
  </si>
  <si>
    <r>
      <t>Seal shafts (cross-sectional area &gt; 9m</t>
    </r>
    <r>
      <rPr>
        <vertAlign val="superscript"/>
        <sz val="8"/>
        <rFont val="Arial"/>
        <family val="2"/>
      </rPr>
      <t>2</t>
    </r>
    <r>
      <rPr>
        <sz val="8"/>
        <rFont val="Arial"/>
        <family val="2"/>
      </rPr>
      <t>) using a reinforced concrete slab constructed on a deck support for the slab inserted into the ground.</t>
    </r>
  </si>
  <si>
    <t>X214</t>
  </si>
  <si>
    <t>Long term maintenance of Creek diversion - Channel constructed through insitu material</t>
  </si>
  <si>
    <t>X215</t>
  </si>
  <si>
    <t>Long term maintenance of Creek diversion - Channel constructed through competent material</t>
  </si>
  <si>
    <t>X216</t>
  </si>
  <si>
    <r>
      <t>Seal small adits (cross-sectional area &lt;= 9m</t>
    </r>
    <r>
      <rPr>
        <vertAlign val="superscript"/>
        <sz val="8"/>
        <color indexed="8"/>
        <rFont val="Arial"/>
        <family val="2"/>
      </rPr>
      <t>2</t>
    </r>
    <r>
      <rPr>
        <sz val="8"/>
        <color indexed="8"/>
        <rFont val="Arial"/>
        <family val="2"/>
      </rPr>
      <t>) - backfill using appropriate material</t>
    </r>
  </si>
  <si>
    <t>X217</t>
  </si>
  <si>
    <t>X218</t>
  </si>
  <si>
    <t>X219</t>
  </si>
  <si>
    <t>X220</t>
  </si>
  <si>
    <t>X221</t>
  </si>
  <si>
    <r>
      <t>Major bulk pushing (Sand Batter) to achieve grades nominated in the approval/permit (i.e. &lt; 18</t>
    </r>
    <r>
      <rPr>
        <vertAlign val="superscript"/>
        <sz val="8"/>
        <rFont val="Arial"/>
        <family val="2"/>
      </rPr>
      <t>o</t>
    </r>
    <r>
      <rPr>
        <sz val="8"/>
        <rFont val="Arial"/>
        <family val="2"/>
      </rPr>
      <t>)</t>
    </r>
  </si>
  <si>
    <t>X222</t>
  </si>
  <si>
    <t>push distance &lt; =50m</t>
  </si>
  <si>
    <t>X223</t>
  </si>
  <si>
    <t>push distance &gt; 50-100m</t>
  </si>
  <si>
    <t>X224</t>
  </si>
  <si>
    <r>
      <t>Major bulk pushing (Clay Batter) to achieve grades nominated in the approval/permit (i.e. &lt; 18</t>
    </r>
    <r>
      <rPr>
        <vertAlign val="superscript"/>
        <sz val="8"/>
        <rFont val="Arial"/>
        <family val="2"/>
      </rPr>
      <t>o</t>
    </r>
    <r>
      <rPr>
        <sz val="8"/>
        <rFont val="Arial"/>
        <family val="2"/>
      </rPr>
      <t>)</t>
    </r>
  </si>
  <si>
    <t>X225</t>
  </si>
  <si>
    <t>X226</t>
  </si>
  <si>
    <t>X227</t>
  </si>
  <si>
    <r>
      <t>Major bulk pushing (Stiff Clay or Soft Rock with ripping) to achieve grades nominated in the approval/permit (i.e. &lt; 18</t>
    </r>
    <r>
      <rPr>
        <vertAlign val="superscript"/>
        <sz val="8"/>
        <rFont val="Arial"/>
        <family val="2"/>
      </rPr>
      <t>o</t>
    </r>
    <r>
      <rPr>
        <sz val="8"/>
        <rFont val="Arial"/>
        <family val="2"/>
      </rPr>
      <t>)</t>
    </r>
  </si>
  <si>
    <t>X228</t>
  </si>
  <si>
    <t>X229</t>
  </si>
  <si>
    <t>X230</t>
  </si>
  <si>
    <t>Rip hardstand areas</t>
  </si>
  <si>
    <t>X231</t>
  </si>
  <si>
    <t>X232</t>
  </si>
  <si>
    <t>X233</t>
  </si>
  <si>
    <t>X234</t>
  </si>
  <si>
    <r>
      <t>Source local material, cart and spread suitable material to cap the waste rock dump (</t>
    </r>
    <r>
      <rPr>
        <i/>
        <sz val="8"/>
        <rFont val="Arial"/>
        <family val="2"/>
      </rPr>
      <t xml:space="preserve">cap thickness determined by approval/licence) </t>
    </r>
  </si>
  <si>
    <t>X235</t>
  </si>
  <si>
    <t>X236</t>
  </si>
  <si>
    <t>X237</t>
  </si>
  <si>
    <t>X238</t>
  </si>
  <si>
    <t>X239</t>
  </si>
  <si>
    <t>Making safe vertical faces</t>
  </si>
  <si>
    <t>X240</t>
  </si>
  <si>
    <t>Sand</t>
  </si>
  <si>
    <t>X241</t>
  </si>
  <si>
    <t>Clay</t>
  </si>
  <si>
    <t>X242</t>
  </si>
  <si>
    <t>Stiff Clay or Soft Rock</t>
  </si>
  <si>
    <t>X243</t>
  </si>
  <si>
    <t>OR Rip only for smaller operations</t>
  </si>
  <si>
    <t>ha</t>
  </si>
  <si>
    <t>X244</t>
  </si>
  <si>
    <t>Rip Only Soft</t>
  </si>
  <si>
    <t>X245</t>
  </si>
  <si>
    <t>Rip Only Hard</t>
  </si>
  <si>
    <t>X246</t>
  </si>
  <si>
    <t>Costeans/Trenches - backfill any costeans/trenches that may have been used.  Push rate only</t>
  </si>
  <si>
    <t>x247</t>
  </si>
  <si>
    <t>Topsoil spreading (topsoil stockpiled immediately adjacent to the area to be rehabilitated) for push &lt; 50m</t>
  </si>
  <si>
    <t>x248</t>
  </si>
  <si>
    <t>Deep Ripping</t>
  </si>
  <si>
    <t>x249</t>
  </si>
  <si>
    <t>Drill and blast a vertical face to achieve a minimum batter angle of 33 degrees, where blasts &lt; 3000 t, face height is typically &lt; 10m.</t>
  </si>
  <si>
    <t>x250</t>
  </si>
  <si>
    <t>Drill and blast a vertical face to achieve a minimum batter angle of 33 degrees, where blasts &gt; 3000 t, face height is typically &gt; 10m.</t>
  </si>
  <si>
    <t>x251</t>
  </si>
  <si>
    <t>Installation of sediment fence</t>
  </si>
  <si>
    <t>x252</t>
  </si>
  <si>
    <t>Backfill dams and reinstate to natural surface.  (Push only)</t>
  </si>
  <si>
    <t>x253</t>
  </si>
  <si>
    <t>OR Backfill dams and reinstate to natural surface.  (Push only)</t>
  </si>
  <si>
    <t>x254</t>
  </si>
  <si>
    <t>Monitoring and Maintenance Costs During the Rehabilitation Works Period</t>
  </si>
  <si>
    <t>x255</t>
  </si>
  <si>
    <t>Any Other Costs That Would be Reasonably Expected To Be Required to Rehabilitate the Site and are not Covered Elsewhere in This Calculator</t>
  </si>
  <si>
    <t>x256</t>
  </si>
  <si>
    <t>Engagement of an EPA accredited environmental auditor to set environmental performance requirements pre rehabilitation works and to verify performance post rehabilitation works</t>
  </si>
  <si>
    <t>x257</t>
  </si>
  <si>
    <t>Environmental sampling - identify any actual or potential contaminants (e.g. arsenic, salt, acid, cyanide)</t>
  </si>
  <si>
    <t>x258</t>
  </si>
  <si>
    <t>Groundwater management – quality and quantity of groundwater</t>
  </si>
  <si>
    <t>x259</t>
  </si>
  <si>
    <t>Purchase of topsoil where there is a shortage on site</t>
  </si>
  <si>
    <t>x260</t>
  </si>
  <si>
    <t>Demolish and remove weighbridge</t>
  </si>
  <si>
    <t>x261</t>
  </si>
  <si>
    <t>Empty and remove septic tank</t>
  </si>
  <si>
    <t>x262</t>
  </si>
  <si>
    <t xml:space="preserve">Empty and remove above ground fuel tank (include all site facilities and is to include pipes, bunds, etc) </t>
  </si>
  <si>
    <t>x263</t>
  </si>
  <si>
    <t xml:space="preserve">Removal of waste truck tyres </t>
  </si>
  <si>
    <t>x264</t>
  </si>
  <si>
    <t>Removal of waste poly pipe, includes collection, cutting for disposal and disposal cost</t>
  </si>
  <si>
    <t>x265</t>
  </si>
  <si>
    <t>Removal of core trays from site</t>
  </si>
  <si>
    <t>Pallet</t>
  </si>
  <si>
    <t>x266</t>
  </si>
  <si>
    <t>Removal of plastic pond liners for offsite disposal</t>
  </si>
  <si>
    <t>x267</t>
  </si>
  <si>
    <t>Pumping costs for water, includes hire of pumps, labour to manage pumping and fuel</t>
  </si>
  <si>
    <t>ML</t>
  </si>
  <si>
    <t>x268</t>
  </si>
  <si>
    <t>Clear and grub existing vegetation</t>
  </si>
  <si>
    <t>x269</t>
  </si>
  <si>
    <t>Plugging of portal with concrete (width &gt;2m)</t>
  </si>
  <si>
    <t>x270</t>
  </si>
  <si>
    <t>Purchase of capping material where there is a shortage on site</t>
  </si>
  <si>
    <t>x271</t>
  </si>
  <si>
    <t>Purchase of clean fill material where there is a shortage on site</t>
  </si>
  <si>
    <t>x272</t>
  </si>
  <si>
    <t>Removal of fences not required in the final landform</t>
  </si>
  <si>
    <t>x273</t>
  </si>
  <si>
    <t>Installation of geotextile/geofabric layer</t>
  </si>
  <si>
    <t>x274</t>
  </si>
  <si>
    <t>Site security and monitoring of the site during the rehabilitation works period</t>
  </si>
  <si>
    <t>x275</t>
  </si>
  <si>
    <t xml:space="preserve">Removal of waste car tyres </t>
  </si>
  <si>
    <t>x276</t>
  </si>
  <si>
    <t>Disconnection of gas supply</t>
  </si>
  <si>
    <t>x277</t>
  </si>
  <si>
    <t>Disconnection of water suply</t>
  </si>
  <si>
    <t>Select Lists</t>
  </si>
  <si>
    <t>Index</t>
  </si>
  <si>
    <t>Select Haul Distance</t>
  </si>
  <si>
    <t>Y</t>
  </si>
  <si>
    <t>N</t>
  </si>
  <si>
    <t>haul distance &gt; 2km -5km</t>
  </si>
  <si>
    <t>Select Distance</t>
  </si>
  <si>
    <t>Distance &gt; 100km -200km</t>
  </si>
  <si>
    <t>Distance &gt; 200Km</t>
  </si>
  <si>
    <t>Select Size</t>
  </si>
  <si>
    <t>Select Volume</t>
  </si>
  <si>
    <t>Select Push Distance</t>
  </si>
  <si>
    <t>overburden dumps/access egress ramps (old parameters)</t>
  </si>
  <si>
    <t>&lt; 50m push</t>
  </si>
  <si>
    <t>&gt; 50m - 75 &lt; push</t>
  </si>
  <si>
    <t>&gt; 75m - 150m &lt; push</t>
  </si>
  <si>
    <t>&gt; 150m push</t>
  </si>
  <si>
    <t xml:space="preserve">Select Push Distance-Sand </t>
  </si>
  <si>
    <t>batter faces</t>
  </si>
  <si>
    <t>&lt; =50m</t>
  </si>
  <si>
    <t>&gt; 50-100m</t>
  </si>
  <si>
    <t>Select Push Distance-Clay</t>
  </si>
  <si>
    <t>Select Push Distance-Stiff Clay</t>
  </si>
  <si>
    <t>overburden dumps/access egress ramps</t>
  </si>
  <si>
    <t>Select Material</t>
  </si>
  <si>
    <t>Select Rip Type</t>
  </si>
  <si>
    <t>Rip only soft</t>
  </si>
  <si>
    <t>Rip only hard</t>
  </si>
  <si>
    <t>Quarry Operations:  (&gt; 5ha disturbance or &gt;5m deep)</t>
  </si>
  <si>
    <t xml:space="preserve">Domain 1: Infrastructure Areas </t>
  </si>
  <si>
    <t>Overall Operation Total:</t>
  </si>
  <si>
    <t>Domain Total:</t>
  </si>
  <si>
    <r>
      <t xml:space="preserve">Additional Assumptions: </t>
    </r>
    <r>
      <rPr>
        <i/>
        <sz val="8"/>
        <rFont val="Arial"/>
        <family val="2"/>
      </rPr>
      <t>Record any relavant assumptions to this domain below:</t>
    </r>
  </si>
  <si>
    <t xml:space="preserve">    Legend:</t>
  </si>
  <si>
    <t xml:space="preserve">                                  Item fixed no entry required</t>
  </si>
  <si>
    <t xml:space="preserve">                                  Input from site optional (if information available)</t>
  </si>
  <si>
    <t xml:space="preserve">                                  Input mandatory (where applicable)</t>
  </si>
  <si>
    <t xml:space="preserve">                                  Default Rate where an alternative is not provided</t>
  </si>
  <si>
    <t xml:space="preserve"> Management Precinct</t>
  </si>
  <si>
    <t>Activity / Description</t>
  </si>
  <si>
    <t>Applicable (Y or N)</t>
  </si>
  <si>
    <t>Quantity</t>
  </si>
  <si>
    <t>Default Unit Rate</t>
  </si>
  <si>
    <t xml:space="preserve"> Alternative Unit Rate</t>
  </si>
  <si>
    <t>Total Cost</t>
  </si>
  <si>
    <t>Additional Info.</t>
  </si>
  <si>
    <t>Description / Notes:</t>
  </si>
  <si>
    <t>Chg</t>
  </si>
  <si>
    <t>Link</t>
  </si>
  <si>
    <t>List</t>
  </si>
  <si>
    <t xml:space="preserve">Admin Buildings                                </t>
  </si>
  <si>
    <r>
      <t xml:space="preserve">This </t>
    </r>
    <r>
      <rPr>
        <b/>
        <sz val="7"/>
        <color indexed="10"/>
        <rFont val="Arial"/>
        <family val="2"/>
      </rPr>
      <t>item</t>
    </r>
    <r>
      <rPr>
        <sz val="7"/>
        <rFont val="Arial"/>
        <family val="2"/>
      </rPr>
      <t xml:space="preserve"> includes disconnecting and terminating power.</t>
    </r>
  </si>
  <si>
    <r>
      <t xml:space="preserve">This </t>
    </r>
    <r>
      <rPr>
        <b/>
        <sz val="7"/>
        <color indexed="10"/>
        <rFont val="Arial"/>
        <family val="2"/>
      </rPr>
      <t>item</t>
    </r>
    <r>
      <rPr>
        <sz val="7"/>
        <rFont val="Arial"/>
        <family val="2"/>
      </rPr>
      <t xml:space="preserve"> includes disconnecting and terminating gas.</t>
    </r>
  </si>
  <si>
    <r>
      <t xml:space="preserve">This </t>
    </r>
    <r>
      <rPr>
        <b/>
        <sz val="7"/>
        <color indexed="10"/>
        <rFont val="Arial"/>
        <family val="2"/>
      </rPr>
      <t>item</t>
    </r>
    <r>
      <rPr>
        <sz val="7"/>
        <rFont val="Arial"/>
        <family val="2"/>
      </rPr>
      <t xml:space="preserve"> includes disconnecting and terminating water.</t>
    </r>
  </si>
  <si>
    <r>
      <t xml:space="preserve">Enter the total </t>
    </r>
    <r>
      <rPr>
        <b/>
        <sz val="7"/>
        <color indexed="10"/>
        <rFont val="Arial"/>
        <family val="2"/>
      </rPr>
      <t>area</t>
    </r>
    <r>
      <rPr>
        <sz val="7"/>
        <rFont val="Arial"/>
        <family val="2"/>
      </rPr>
      <t xml:space="preserve"> of small buildings and offices in the admin area.  It should not include demountables which can be removed from site. It does not include workshops. </t>
    </r>
  </si>
  <si>
    <t>This item allows for emptying and removal of a septic tank</t>
  </si>
  <si>
    <t>This item includes removal of a weighbridge.</t>
  </si>
  <si>
    <r>
      <t xml:space="preserve">Enter the total </t>
    </r>
    <r>
      <rPr>
        <b/>
        <sz val="7"/>
        <color indexed="10"/>
        <rFont val="Arial"/>
        <family val="2"/>
      </rPr>
      <t>area</t>
    </r>
    <r>
      <rPr>
        <sz val="7"/>
        <rFont val="Arial"/>
        <family val="2"/>
      </rPr>
      <t xml:space="preserve"> of workshop facilities in the admin area.
</t>
    </r>
  </si>
  <si>
    <r>
      <t xml:space="preserve">Enter the total </t>
    </r>
    <r>
      <rPr>
        <b/>
        <sz val="7"/>
        <color indexed="10"/>
        <rFont val="Arial"/>
        <family val="2"/>
      </rPr>
      <t>area</t>
    </r>
    <r>
      <rPr>
        <sz val="7"/>
        <rFont val="Arial"/>
        <family val="2"/>
      </rPr>
      <t xml:space="preserve">  of any bitumen car parks (or similar)</t>
    </r>
  </si>
  <si>
    <r>
      <t xml:space="preserve">Enter the total </t>
    </r>
    <r>
      <rPr>
        <b/>
        <sz val="7"/>
        <color indexed="10"/>
        <rFont val="Arial"/>
        <family val="2"/>
      </rPr>
      <t>area</t>
    </r>
    <r>
      <rPr>
        <sz val="7"/>
        <rFont val="Arial"/>
        <family val="2"/>
      </rPr>
      <t xml:space="preserve"> the workshops and buildings where concrete footings are estimated to be &lt;300mm thick.  The broken up concrete will be buried in the pit.</t>
    </r>
  </si>
  <si>
    <r>
      <t xml:space="preserve">Enter the total </t>
    </r>
    <r>
      <rPr>
        <b/>
        <sz val="7"/>
        <color indexed="10"/>
        <rFont val="Arial"/>
        <family val="2"/>
      </rPr>
      <t>area</t>
    </r>
    <r>
      <rPr>
        <sz val="7"/>
        <rFont val="Arial"/>
        <family val="2"/>
      </rPr>
      <t xml:space="preserve"> the workshops and buildings where concrete footings are estimated to be &gt;300mm thick.  The broken up concrete will be buried in the pit.</t>
    </r>
  </si>
  <si>
    <t>Precinct Rehabilitation Liability</t>
  </si>
  <si>
    <t xml:space="preserve">Workshops, Crushing &amp; Product Stockpile area (s) </t>
  </si>
  <si>
    <r>
      <t xml:space="preserve">This </t>
    </r>
    <r>
      <rPr>
        <sz val="7"/>
        <color indexed="10"/>
        <rFont val="Arial"/>
        <family val="2"/>
      </rPr>
      <t>item</t>
    </r>
    <r>
      <rPr>
        <sz val="7"/>
        <rFont val="Arial"/>
        <family val="2"/>
      </rPr>
      <t xml:space="preserve"> includes disconnecting and terminating all services such as power, water and sewer.   It is a "one off" cost for the area.</t>
    </r>
  </si>
  <si>
    <r>
      <t xml:space="preserve">Enter the total </t>
    </r>
    <r>
      <rPr>
        <b/>
        <sz val="7"/>
        <color indexed="10"/>
        <rFont val="Arial"/>
        <family val="2"/>
      </rPr>
      <t>area</t>
    </r>
    <r>
      <rPr>
        <sz val="7"/>
        <rFont val="Arial"/>
        <family val="2"/>
      </rPr>
      <t xml:space="preserve"> the workshops and buildings where concrete footings are estimated to be &lt;300mm thick</t>
    </r>
  </si>
  <si>
    <r>
      <t xml:space="preserve">Enter the total </t>
    </r>
    <r>
      <rPr>
        <b/>
        <sz val="7"/>
        <color indexed="10"/>
        <rFont val="Arial"/>
        <family val="2"/>
      </rPr>
      <t>area</t>
    </r>
    <r>
      <rPr>
        <sz val="7"/>
        <rFont val="Arial"/>
        <family val="2"/>
      </rPr>
      <t xml:space="preserve"> the workshops and buildings where concrete footings are estimated to be &gt;300mm thick</t>
    </r>
  </si>
  <si>
    <t>This includes the cost to dismantle the Fixed processing plant and relocate from the site.</t>
  </si>
  <si>
    <r>
      <t xml:space="preserve">This </t>
    </r>
    <r>
      <rPr>
        <b/>
        <sz val="7"/>
        <color indexed="10"/>
        <rFont val="Arial"/>
        <family val="2"/>
      </rPr>
      <t>item</t>
    </r>
    <r>
      <rPr>
        <sz val="7"/>
        <rFont val="Arial"/>
        <family val="2"/>
      </rPr>
      <t xml:space="preserve"> includes tipping of core from the trays for disposal onsite and then disposal cost of the trays. Cost is per pallet.</t>
    </r>
  </si>
  <si>
    <r>
      <t xml:space="preserve">This </t>
    </r>
    <r>
      <rPr>
        <b/>
        <sz val="7"/>
        <color indexed="10"/>
        <rFont val="Arial"/>
        <family val="2"/>
      </rPr>
      <t>item</t>
    </r>
    <r>
      <rPr>
        <sz val="7"/>
        <rFont val="Arial"/>
        <family val="2"/>
      </rPr>
      <t xml:space="preserve"> includes removing waste poly pipe from site, including cutting and disposal. Additional allowance may be required where pipieline has contained contaminated material.</t>
    </r>
  </si>
  <si>
    <r>
      <t xml:space="preserve">This </t>
    </r>
    <r>
      <rPr>
        <b/>
        <sz val="7"/>
        <color indexed="10"/>
        <rFont val="Arial"/>
        <family val="2"/>
      </rPr>
      <t>item</t>
    </r>
    <r>
      <rPr>
        <sz val="7"/>
        <rFont val="Arial"/>
        <family val="2"/>
      </rPr>
      <t xml:space="preserve"> includes removing all waste car tyres from the site.</t>
    </r>
  </si>
  <si>
    <r>
      <t xml:space="preserve">This </t>
    </r>
    <r>
      <rPr>
        <b/>
        <sz val="7"/>
        <color indexed="10"/>
        <rFont val="Arial"/>
        <family val="2"/>
      </rPr>
      <t>item</t>
    </r>
    <r>
      <rPr>
        <sz val="7"/>
        <rFont val="Arial"/>
        <family val="2"/>
      </rPr>
      <t xml:space="preserve"> includes removing all waste truck tyres from the site.</t>
    </r>
  </si>
  <si>
    <r>
      <t xml:space="preserve">This </t>
    </r>
    <r>
      <rPr>
        <b/>
        <sz val="7"/>
        <color indexed="10"/>
        <rFont val="Arial"/>
        <family val="2"/>
      </rPr>
      <t>item</t>
    </r>
    <r>
      <rPr>
        <sz val="7"/>
        <rFont val="Arial"/>
        <family val="2"/>
      </rPr>
      <t xml:space="preserve"> includes removing all mobile plant and equipment from the site.</t>
    </r>
  </si>
  <si>
    <r>
      <t xml:space="preserve">This </t>
    </r>
    <r>
      <rPr>
        <b/>
        <sz val="7"/>
        <color indexed="10"/>
        <rFont val="Arial"/>
        <family val="2"/>
      </rPr>
      <t>rate</t>
    </r>
    <r>
      <rPr>
        <sz val="7"/>
        <rFont val="Arial"/>
        <family val="2"/>
      </rPr>
      <t xml:space="preserve"> includes the hire/lease and service charges for a 10m</t>
    </r>
    <r>
      <rPr>
        <vertAlign val="superscript"/>
        <sz val="7"/>
        <rFont val="Arial"/>
        <family val="2"/>
      </rPr>
      <t>3</t>
    </r>
    <r>
      <rPr>
        <sz val="7"/>
        <rFont val="Arial"/>
        <family val="2"/>
      </rPr>
      <t xml:space="preserve"> skip bin for a period of 5 weeks as well as removal of the bin to the nearest licensed landfill area.</t>
    </r>
  </si>
  <si>
    <r>
      <t xml:space="preserve">Enter the sum of the </t>
    </r>
    <r>
      <rPr>
        <b/>
        <sz val="7"/>
        <color indexed="10"/>
        <rFont val="Arial"/>
        <family val="2"/>
      </rPr>
      <t>total length</t>
    </r>
    <r>
      <rPr>
        <sz val="7"/>
        <rFont val="Arial"/>
        <family val="2"/>
      </rPr>
      <t xml:space="preserve"> of overland conveyor and gantries.  </t>
    </r>
  </si>
  <si>
    <r>
      <t xml:space="preserve">Enter the sum of the </t>
    </r>
    <r>
      <rPr>
        <b/>
        <sz val="7"/>
        <color indexed="10"/>
        <rFont val="Arial"/>
        <family val="2"/>
      </rPr>
      <t>total length</t>
    </r>
    <r>
      <rPr>
        <sz val="7"/>
        <rFont val="Arial"/>
        <family val="2"/>
      </rPr>
      <t xml:space="preserve"> of overhead conveyor and gantries.  </t>
    </r>
  </si>
  <si>
    <t>This includes removing all thickener or flocc tanks from the site including an associated pipework and pumps, etc.</t>
  </si>
  <si>
    <r>
      <t xml:space="preserve">Removal and disposal of contaminated materials               </t>
    </r>
    <r>
      <rPr>
        <sz val="8"/>
        <rFont val="Arial"/>
        <family val="2"/>
      </rPr>
      <t xml:space="preserve">(for further information see </t>
    </r>
    <r>
      <rPr>
        <i/>
        <sz val="8"/>
        <rFont val="Arial"/>
        <family val="2"/>
      </rPr>
      <t>Classication of Wastes.</t>
    </r>
    <r>
      <rPr>
        <sz val="8"/>
        <rFont val="Arial"/>
        <family val="2"/>
      </rPr>
      <t xml:space="preserve"> Pub 448.3, May 2007. Environment Protection Authority, Victoria)    </t>
    </r>
    <r>
      <rPr>
        <b/>
        <sz val="8"/>
        <rFont val="Arial"/>
        <family val="2"/>
      </rPr>
      <t xml:space="preserve">           </t>
    </r>
  </si>
  <si>
    <t>Assessment requiredwhere it has been identified that there is significant potential of contaminated land.</t>
  </si>
  <si>
    <t>This includes the removal of contaminated water from bunded areas and sump using a vacuum truck and disposing of the water to a licensed facility.  Need to add $2.50 /km for out of metro areas.</t>
  </si>
  <si>
    <t>Allows for disposal fee of $100 per tonne and cartage of $30/tonne (assume local landfill).</t>
  </si>
  <si>
    <t xml:space="preserve">Allows for disposal fee of $200 per tonne and cartage of $50/tonne. </t>
  </si>
  <si>
    <r>
      <t xml:space="preserve">Where an assessment has been made to confirm that bioremediation is possible the total </t>
    </r>
    <r>
      <rPr>
        <b/>
        <sz val="7"/>
        <rFont val="Arial"/>
        <family val="2"/>
      </rPr>
      <t>volume</t>
    </r>
    <r>
      <rPr>
        <sz val="7"/>
        <rFont val="Arial"/>
        <family val="2"/>
      </rPr>
      <t xml:space="preserve"> of material can be included for onsite land farming.</t>
    </r>
  </si>
  <si>
    <t xml:space="preserve">Includes removal and disposal of tank; taking of validation samples and analysis; removal and off site landfill disposal of all back fill sand only.  Assumes 30 tonnes of low level and 30 tonnes of high level contaminated back fill with rates to cart and dispose of $130 and $230 respectively.    </t>
  </si>
  <si>
    <t>Includes removal and disposal of tank; taking of validation samples and analysis; removal and off site landfill disposal of all back fill sand only.  Assumes 30 tonnes of low level and 30 tonnes of high level contaminated back fill with rates to cart off site to a licenced disposal facility.</t>
  </si>
  <si>
    <t>Includes removal and disposal of tank; taking of validation samples and analysis; removal and off site landfill disposal of all back fill sand only.  Assumes 100 tonnes of low level and 100 tonnes of high level contaminated back fill with rates to cart off site to a licenced disposal facility.</t>
  </si>
  <si>
    <t>Access &amp; Haul Roads</t>
  </si>
  <si>
    <r>
      <t xml:space="preserve">Enter the total </t>
    </r>
    <r>
      <rPr>
        <sz val="7"/>
        <color indexed="10"/>
        <rFont val="Arial"/>
        <family val="2"/>
      </rPr>
      <t>area</t>
    </r>
    <r>
      <rPr>
        <sz val="7"/>
        <rFont val="Arial"/>
        <family val="2"/>
      </rPr>
      <t xml:space="preserve"> of the road footprint requiring reshaping and deep ripping.</t>
    </r>
  </si>
  <si>
    <r>
      <t xml:space="preserve">Enter the total </t>
    </r>
    <r>
      <rPr>
        <b/>
        <sz val="7"/>
        <color indexed="10"/>
        <rFont val="Arial"/>
        <family val="2"/>
      </rPr>
      <t>volume</t>
    </r>
    <r>
      <rPr>
        <sz val="7"/>
        <rFont val="Arial"/>
        <family val="2"/>
      </rPr>
      <t xml:space="preserve"> (ie. area x depth of material) to be scalped off for burial in the pit.
</t>
    </r>
    <r>
      <rPr>
        <b/>
        <sz val="7"/>
        <color indexed="48"/>
        <rFont val="Arial"/>
        <family val="2"/>
      </rPr>
      <t/>
    </r>
  </si>
  <si>
    <r>
      <t xml:space="preserve">Enter the total </t>
    </r>
    <r>
      <rPr>
        <b/>
        <sz val="7"/>
        <color indexed="10"/>
        <rFont val="Arial"/>
        <family val="2"/>
      </rPr>
      <t>area</t>
    </r>
    <r>
      <rPr>
        <sz val="7"/>
        <rFont val="Arial"/>
        <family val="2"/>
      </rPr>
      <t xml:space="preserve">  of any bitumen car parks (or similar).</t>
    </r>
  </si>
  <si>
    <t>Landscaping, minor earthworks and revegetation throughout domain area.</t>
  </si>
  <si>
    <r>
      <t xml:space="preserve">This item includes the </t>
    </r>
    <r>
      <rPr>
        <b/>
        <sz val="7"/>
        <color indexed="10"/>
        <rFont val="Arial"/>
        <family val="2"/>
      </rPr>
      <t>area</t>
    </r>
    <r>
      <rPr>
        <sz val="7"/>
        <rFont val="Arial"/>
        <family val="2"/>
      </rPr>
      <t xml:space="preserve"> requiring minor reshaping, rock raking and deep ripping to enhance revegetation program.  It will generally include doing minor reshaping works to tidy up the site.</t>
    </r>
  </si>
  <si>
    <t>This item includes the catchment area requiring earthworks (banks, &amp; drains, etc) to manage all surface water within the disturbance footprint.  This rate is based on an average per hectare cost to install all required soil conservation earthworks.</t>
  </si>
  <si>
    <t>Includes any areas of compacted ground such as around and beneath  plant and buildings</t>
  </si>
  <si>
    <t>Includes clearing and grubbing exsiting vegetation which needs to be removed for rehabilitation.</t>
  </si>
  <si>
    <t>X268</t>
  </si>
  <si>
    <t>This item includes the ongoing maintenance of rehabilitation, it may include tidy up of erosion, replanting failed revegetation, application of fertiliser or other amendments.</t>
  </si>
  <si>
    <t>This item include the construction of a standard stock fence around the site to prevent stock and unauthorized person entering the site while it is being rehabilitated.</t>
  </si>
  <si>
    <r>
      <t xml:space="preserve">This includes sourcing, carting and spreading of a suitable </t>
    </r>
    <r>
      <rPr>
        <b/>
        <sz val="7"/>
        <color indexed="10"/>
        <rFont val="Arial"/>
        <family val="2"/>
      </rPr>
      <t>volume</t>
    </r>
    <r>
      <rPr>
        <sz val="7"/>
        <rFont val="Arial"/>
        <family val="2"/>
      </rPr>
      <t xml:space="preserve"> of topsoil to cover the entire disturbance footprint.</t>
    </r>
  </si>
  <si>
    <t>This item allows for the purchase of topsoil where there is a shortage of topsoil stockpiled. This should be used in addition with the source, cart, spread and rip to account for transport and spreading.</t>
  </si>
  <si>
    <t>X259</t>
  </si>
  <si>
    <t>This includes adding  a soil ameliorant prior to preparation of seed bed for rehabilitation or assist stabilising dispersive soils (eg lime or gypsum).</t>
  </si>
  <si>
    <t>This rate includes acquiring a diverse mix of native tree &amp; shrub species appropriate for the area (including understorey), mixing and treating the seed (ie smoke and heat) and applying the seed by hand at a rate between 4 - 10kg/ha (as applicable).  This rate also includes undertaken soil sampling ahead of the rehabilitation program. This item includes a single application of fertiliser during the initial seeding program.</t>
  </si>
  <si>
    <t>This includes direct seeding of non native pasture grass species with the principal aim of return the land to a stable, sustainable grazing land use. It is different to using pasture grasses in for temporary erosion and sediment control.  This rate also includes undertaking soil sampling ahead of the rehabilitation program. This item includes a single application of fertiliser during the initial seeding program.</t>
  </si>
  <si>
    <t>This includes the seedling, fertiliser tablet, weed mat and guard - small tubestock.</t>
  </si>
  <si>
    <t>Water Dams</t>
  </si>
  <si>
    <t>This item includes making the dam spillway, and walls stable to ensure the integrity of the dam walls so they can remain after the closure of the project.</t>
  </si>
  <si>
    <t xml:space="preserve">Pumping costs for water needing to be pumped, for the total volume required to be pumped. </t>
  </si>
  <si>
    <t>Removal of sediment and plastic dam liner for disposal offsite.</t>
  </si>
  <si>
    <t>Dam to be backfilled (ie. reinstate the dam to be consistent with the natural surface).  Some minor earthworks may be required.</t>
  </si>
  <si>
    <t>Other</t>
  </si>
  <si>
    <t>Other 1 &lt;insert&gt;</t>
  </si>
  <si>
    <r>
      <t xml:space="preserve">This </t>
    </r>
    <r>
      <rPr>
        <sz val="7"/>
        <rFont val="Arial"/>
        <family val="2"/>
      </rPr>
      <t>item</t>
    </r>
    <r>
      <rPr>
        <sz val="7"/>
        <rFont val="Arial"/>
        <family val="2"/>
      </rPr>
      <t xml:space="preserve"> includes </t>
    </r>
    <r>
      <rPr>
        <b/>
        <sz val="7"/>
        <color indexed="10"/>
        <rFont val="Arial"/>
        <family val="2"/>
      </rPr>
      <t>&lt;&lt;to be added by the operator&gt;&gt;</t>
    </r>
  </si>
  <si>
    <t>Other 2 &lt;insert&gt;</t>
  </si>
  <si>
    <t>Other 3 &lt;insert&gt;</t>
  </si>
  <si>
    <t>h</t>
  </si>
  <si>
    <t>TXRESULT</t>
  </si>
  <si>
    <t>Total Rehabilitation Liability for the "Domain"</t>
  </si>
  <si>
    <t>Complete a separate sheet for each tailings storage facility on the site.</t>
  </si>
  <si>
    <t>Tailings Storage (Key Information):</t>
  </si>
  <si>
    <t xml:space="preserve">Materials Stored </t>
  </si>
  <si>
    <t>Volume Stored (m3)</t>
  </si>
  <si>
    <t>Maximum Embankment Height (m)</t>
  </si>
  <si>
    <t>Maximum Embankment Length (m)</t>
  </si>
  <si>
    <t>Year Dam / storage Commissioned</t>
  </si>
  <si>
    <t>Storage area (ha)</t>
  </si>
  <si>
    <t>Catchment Area of Tailings Storage Facility (ha)</t>
  </si>
  <si>
    <t>Briefly describe embankment construction. (earthen, clay core, etc)</t>
  </si>
  <si>
    <t xml:space="preserve"> </t>
  </si>
  <si>
    <t>Tailings/Slimes Storage</t>
  </si>
  <si>
    <r>
      <t xml:space="preserve">This includes sourcing, carting and spreading of a suitable </t>
    </r>
    <r>
      <rPr>
        <b/>
        <sz val="7"/>
        <color indexed="10"/>
        <rFont val="Arial"/>
        <family val="2"/>
      </rPr>
      <t>volume</t>
    </r>
    <r>
      <rPr>
        <sz val="7"/>
        <rFont val="Arial"/>
        <family val="2"/>
      </rPr>
      <t xml:space="preserve"> material to cap the tailings storage  The material must have appropriate chemical &amp; physical properties.</t>
    </r>
  </si>
  <si>
    <t>This item allows for the purchase of capping material where there is a shortage onsite. This should be used in addition with the source, cart and spread to account for transport and spreading.</t>
  </si>
  <si>
    <t>X270</t>
  </si>
  <si>
    <t>This includes the area that requires engineering treatment that is required to satisfy conditions of the approval/permit,  This may include compaction or addition of multiple layers and / or capillary breaks.</t>
  </si>
  <si>
    <t>This includes the area that requires stabilisation and reshaping works around the walls of the storage (i.e. removal of rills and pipes that may present long term stability issues).</t>
  </si>
  <si>
    <t xml:space="preserve">Landscaping, minor earthworks and revegetation throughout domain area.            </t>
  </si>
  <si>
    <r>
      <t xml:space="preserve">Enter the total </t>
    </r>
    <r>
      <rPr>
        <b/>
        <sz val="7"/>
        <color indexed="10"/>
        <rFont val="Arial"/>
        <family val="2"/>
      </rPr>
      <t>area</t>
    </r>
    <r>
      <rPr>
        <sz val="7"/>
        <rFont val="Arial"/>
        <family val="2"/>
      </rPr>
      <t xml:space="preserve"> of the road footprint requiring reshaping and deep ripping.</t>
    </r>
  </si>
  <si>
    <t>Domain 2: Tailings Storage Facility/Slimes Storage (1)</t>
  </si>
  <si>
    <t>Domain 2: Tailings Storage Facility/Slimes Storage (2)</t>
  </si>
  <si>
    <t>Domain 2: Tailings Storage Facility/Slimes Storage (3)</t>
  </si>
  <si>
    <t>Domain 3: Overburden &amp; Waste Dumps</t>
  </si>
  <si>
    <r>
      <t xml:space="preserve">Unshaped Waste Rock Dumps 
</t>
    </r>
    <r>
      <rPr>
        <i/>
        <sz val="8"/>
        <rFont val="Arial"/>
        <family val="2"/>
      </rPr>
      <t>(minor reshaping required)</t>
    </r>
  </si>
  <si>
    <r>
      <t xml:space="preserve">This item includes the </t>
    </r>
    <r>
      <rPr>
        <b/>
        <sz val="7"/>
        <color indexed="10"/>
        <rFont val="Arial"/>
        <family val="2"/>
      </rPr>
      <t>area</t>
    </r>
    <r>
      <rPr>
        <sz val="7"/>
        <rFont val="Arial"/>
        <family val="2"/>
      </rPr>
      <t xml:space="preserve"> requiring minor reshaping, rock raking and deep ripping to enhance revegetation program.   </t>
    </r>
  </si>
  <si>
    <r>
      <t xml:space="preserve">This includes sourcing, carting and spreading of a suitable </t>
    </r>
    <r>
      <rPr>
        <b/>
        <sz val="7"/>
        <color indexed="10"/>
        <rFont val="Arial"/>
        <family val="2"/>
      </rPr>
      <t>volume</t>
    </r>
    <r>
      <rPr>
        <sz val="7"/>
        <rFont val="Arial"/>
        <family val="2"/>
      </rPr>
      <t xml:space="preserve"> material to cap the waste rock dump. The material must have appropriate chemical &amp; physical properties.</t>
    </r>
  </si>
  <si>
    <r>
      <t xml:space="preserve">Unshaped Waste Rock Dumps
</t>
    </r>
    <r>
      <rPr>
        <i/>
        <sz val="8"/>
        <rFont val="Arial"/>
        <family val="2"/>
      </rPr>
      <t xml:space="preserve">(major reshaping required) </t>
    </r>
  </si>
  <si>
    <r>
      <t xml:space="preserve">This item includes the </t>
    </r>
    <r>
      <rPr>
        <b/>
        <sz val="7"/>
        <color indexed="10"/>
        <rFont val="Arial"/>
        <family val="2"/>
      </rPr>
      <t>volume</t>
    </r>
    <r>
      <rPr>
        <sz val="7"/>
        <rFont val="Arial"/>
        <family val="2"/>
      </rPr>
      <t xml:space="preserve"> requiring </t>
    </r>
    <r>
      <rPr>
        <b/>
        <sz val="7"/>
        <rFont val="Arial"/>
        <family val="2"/>
      </rPr>
      <t>major</t>
    </r>
    <r>
      <rPr>
        <sz val="7"/>
        <rFont val="Arial"/>
        <family val="2"/>
      </rPr>
      <t xml:space="preserve"> reshaping, rock raking and deep ripping (only as required) to enhance revegetation program. The rate increases the longer the push length due to losses in dozer productivity.                                                                                  </t>
    </r>
    <r>
      <rPr>
        <sz val="7"/>
        <rFont val="Arial"/>
        <family val="2"/>
      </rPr>
      <t xml:space="preserve">             </t>
    </r>
  </si>
  <si>
    <t>This item includes the area requiring minor reshaping, and ripping to enhance revegetation program.  It will generally include doing minor reshaping works to tidy up the site.</t>
  </si>
  <si>
    <t xml:space="preserve">This item includes the catchment area requiring earthworks (banks, &amp; drains, etc) to manage all surface water within the disturbance footprint.  This rate is based on an average per hectare cost to install all required soil conservation earthworks. </t>
  </si>
  <si>
    <t>This item includes the ongoing maintenance of the rehabilitation (ie. repairing banks/drains and application of fertiliser.  It assumes application twice during the first five (5) years after establishment.</t>
  </si>
  <si>
    <t>This  includes the spreading of topsoil stockpiled immediately adjacent to the area to be rehabilitated.</t>
  </si>
  <si>
    <t>PIT: Earthwork Details (optional)</t>
  </si>
  <si>
    <t>Face</t>
  </si>
  <si>
    <t>Activity</t>
  </si>
  <si>
    <t>Height</t>
  </si>
  <si>
    <t>Length</t>
  </si>
  <si>
    <r>
      <t>Quantity (e.g m</t>
    </r>
    <r>
      <rPr>
        <b/>
        <vertAlign val="superscript"/>
        <sz val="8"/>
        <rFont val="Arial"/>
        <family val="2"/>
      </rPr>
      <t>3</t>
    </r>
    <r>
      <rPr>
        <b/>
        <sz val="8"/>
        <rFont val="Arial"/>
        <family val="2"/>
      </rPr>
      <t>)</t>
    </r>
  </si>
  <si>
    <t>Pits (faces and quarry floor)</t>
  </si>
  <si>
    <t>This item includes the total amount of material in the face to be blasted to reduce the angle to make it safe.</t>
  </si>
  <si>
    <r>
      <t xml:space="preserve">This item includes the </t>
    </r>
    <r>
      <rPr>
        <b/>
        <sz val="7"/>
        <color indexed="10"/>
        <rFont val="Arial"/>
        <family val="2"/>
      </rPr>
      <t>volume</t>
    </r>
    <r>
      <rPr>
        <sz val="7"/>
        <rFont val="Arial"/>
        <family val="2"/>
      </rPr>
      <t xml:space="preserve"> of material requiring </t>
    </r>
    <r>
      <rPr>
        <b/>
        <sz val="7"/>
        <rFont val="Arial"/>
        <family val="2"/>
      </rPr>
      <t>major</t>
    </r>
    <r>
      <rPr>
        <sz val="7"/>
        <rFont val="Arial"/>
        <family val="2"/>
      </rPr>
      <t xml:space="preserve"> reshaping using a dozer to make safe an area and enable the establishment of rehabilitation </t>
    </r>
    <r>
      <rPr>
        <b/>
        <sz val="7"/>
        <color indexed="48"/>
        <rFont val="Arial"/>
        <family val="2"/>
      </rPr>
      <t>UNIT RATE:</t>
    </r>
    <r>
      <rPr>
        <sz val="7"/>
        <rFont val="Arial"/>
        <family val="2"/>
      </rPr>
      <t xml:space="preserve"> dozer push rate</t>
    </r>
  </si>
  <si>
    <r>
      <t xml:space="preserve">This item allows for the purchase of fill material where there is a shortage onsite. This should be used in </t>
    </r>
    <r>
      <rPr>
        <b/>
        <sz val="7"/>
        <rFont val="Arial"/>
        <family val="2"/>
      </rPr>
      <t>addition</t>
    </r>
    <r>
      <rPr>
        <sz val="7"/>
        <rFont val="Arial"/>
        <family val="2"/>
      </rPr>
      <t xml:space="preserve"> with the push rate to allow for spreading of the material.</t>
    </r>
  </si>
  <si>
    <t>X271</t>
  </si>
  <si>
    <t xml:space="preserve">Where faces will remain a safety  berm and drop bench are required to be constructed around the perimeter of the void to restrict access. </t>
  </si>
  <si>
    <t>Where steep faces will remain  a 6' chain mesh fence needs to be constructed around the perimeter of the void to restrict access to the site.</t>
  </si>
  <si>
    <r>
      <t xml:space="preserve">This item includes the </t>
    </r>
    <r>
      <rPr>
        <b/>
        <sz val="7"/>
        <color indexed="10"/>
        <rFont val="Arial"/>
        <family val="2"/>
      </rPr>
      <t>volume</t>
    </r>
    <r>
      <rPr>
        <sz val="7"/>
        <rFont val="Arial"/>
        <family val="2"/>
      </rPr>
      <t xml:space="preserve"> of material that is to be hauled to backfill against the faces in the final the void (where applicable)</t>
    </r>
  </si>
  <si>
    <r>
      <t xml:space="preserve">This item includes the </t>
    </r>
    <r>
      <rPr>
        <b/>
        <sz val="7"/>
        <color indexed="10"/>
        <rFont val="Arial"/>
        <family val="2"/>
      </rPr>
      <t>volume</t>
    </r>
    <r>
      <rPr>
        <sz val="7"/>
        <rFont val="Arial"/>
        <family val="2"/>
      </rPr>
      <t xml:space="preserve"> of material that is to be compacted against the faces in the final the void (where applicable).</t>
    </r>
    <r>
      <rPr>
        <sz val="7"/>
        <rFont val="Arial"/>
        <family val="2"/>
      </rPr>
      <t xml:space="preserve"> This is in </t>
    </r>
    <r>
      <rPr>
        <b/>
        <sz val="7"/>
        <rFont val="Arial"/>
        <family val="2"/>
      </rPr>
      <t>addition</t>
    </r>
    <r>
      <rPr>
        <sz val="7"/>
        <rFont val="Arial"/>
        <family val="2"/>
      </rPr>
      <t xml:space="preserve"> to the backfill or push rate to allow for the additional effort of compaction.</t>
    </r>
  </si>
  <si>
    <t>This item is just for ripping and excludes reshaping or other ameliorative actions</t>
  </si>
  <si>
    <t>Domain 4: Pits (1)</t>
  </si>
  <si>
    <t>Domain 4: Pits (2)</t>
  </si>
  <si>
    <t>Domain 4: Pits (3)</t>
  </si>
  <si>
    <t>Domain 5: Other</t>
  </si>
  <si>
    <t xml:space="preserve">Other Management Issues </t>
  </si>
  <si>
    <r>
      <t xml:space="preserve">This </t>
    </r>
    <r>
      <rPr>
        <b/>
        <sz val="7"/>
        <color indexed="10"/>
        <rFont val="Arial"/>
        <family val="2"/>
      </rPr>
      <t>rate</t>
    </r>
    <r>
      <rPr>
        <sz val="7"/>
        <rFont val="Arial"/>
        <family val="2"/>
      </rPr>
      <t xml:space="preserve"> includes the dismantling and removal of powerlines and poles from the site.  It does not include the removal of substations.</t>
    </r>
  </si>
  <si>
    <t>This item includes grouting and capping all exploration holes and water bores.</t>
  </si>
  <si>
    <t xml:space="preserve">This item covers the costs associated with the management of pests and weeds on the site.  It includes spraying in in autumn and spring. </t>
  </si>
  <si>
    <t>This item includes the pulling up and removal of railway line and sleepers from site (cost per metre).</t>
  </si>
  <si>
    <t xml:space="preserve">This item has been included to capture the cost of any hydro seeding that may be required on the site. </t>
  </si>
  <si>
    <t>This item covers the costs associated with the installation of a geotextile layer</t>
  </si>
  <si>
    <t>m2</t>
  </si>
  <si>
    <t>This item covers the costs associated with the installation of a sediment fence</t>
  </si>
  <si>
    <t>This item covers the costs associated with site security during the rehabilitation works period. It could include items such as installing signage, repairs to fencing and site monitoring or security guards where required.</t>
  </si>
  <si>
    <t>Where 1st principles rate is requested, please provide detailed explanatory notes of how the rate has been determined</t>
  </si>
  <si>
    <t>Other 7 &lt;insert&gt;</t>
  </si>
  <si>
    <t>this has deliberately been left blank.</t>
  </si>
  <si>
    <t>Other 8 &lt;insert&gt;</t>
  </si>
  <si>
    <t>Other 9 &lt;insert&gt;</t>
  </si>
  <si>
    <t>Other 10 &lt;insert&gt;</t>
  </si>
  <si>
    <t>Third Party Project Management &amp; Contingencies</t>
  </si>
  <si>
    <t xml:space="preserve">Sub Total of all Domain Areas </t>
  </si>
  <si>
    <t>Sundry Items</t>
  </si>
  <si>
    <r>
      <t xml:space="preserve">This is to cover the cost of the "third party" contractor bringing equipment to the site to undertake the rehabilitation works.  It needs to reflect the true costs of getting the equipment to and from the site. 
</t>
    </r>
    <r>
      <rPr>
        <sz val="7"/>
        <color indexed="10"/>
        <rFont val="Arial"/>
        <family val="2"/>
      </rPr>
      <t xml:space="preserve">Where an </t>
    </r>
    <r>
      <rPr>
        <b/>
        <sz val="7"/>
        <color indexed="10"/>
        <rFont val="Arial"/>
        <family val="2"/>
      </rPr>
      <t>Alternate Unit Rate</t>
    </r>
    <r>
      <rPr>
        <sz val="7"/>
        <color indexed="10"/>
        <rFont val="Arial"/>
        <family val="2"/>
      </rPr>
      <t xml:space="preserve"> is selected, users are to apply 1st principles. Please provide detailed explanatory notes of how the 1st principle rate has been determined.</t>
    </r>
  </si>
  <si>
    <t>Environmental monitoring requirements during rehabilitation.</t>
  </si>
  <si>
    <t>This has deliberately been left blank</t>
  </si>
  <si>
    <t>This item is to cover any monitoring and measurement requirements that may be needed during rehabilitation of the project.</t>
  </si>
  <si>
    <t>Project Management &amp; Surveying (this includes preparing any documentation and well as engineering and design changes that may be needed during closure).</t>
  </si>
  <si>
    <t>This is to cover any Project Management or Surveying costs that may be required during the closure of the mine.  It also covers the preparation of tender documents and any cost for engineering and re-design that may be required during the closure of the mine.</t>
  </si>
  <si>
    <t>Total Rehabilitation Liability for "Management &amp; Contingencies"</t>
  </si>
  <si>
    <t>Summary Report of Rehabilitation Liability Calculation</t>
  </si>
  <si>
    <t>Tenement number(s):</t>
  </si>
  <si>
    <t>Current Bond:</t>
  </si>
  <si>
    <t>Date of Last Rehabilitation Bond Review:</t>
  </si>
  <si>
    <t>Domain</t>
  </si>
  <si>
    <t xml:space="preserve">Rehabilitation Liability </t>
  </si>
  <si>
    <t>Sub-Total</t>
  </si>
  <si>
    <t>Total Rehabilitation Liability for the Operation</t>
  </si>
  <si>
    <t>Total Discount Applied</t>
  </si>
  <si>
    <t>Total Rehabilitation Liability Minus Discount</t>
  </si>
  <si>
    <t>Recommended Bond</t>
  </si>
  <si>
    <t>This is an accurate assessment of the rehabilitation liability for the site.</t>
  </si>
  <si>
    <t>Assessment Completed By</t>
  </si>
  <si>
    <t>Title</t>
  </si>
  <si>
    <t>Date:</t>
  </si>
  <si>
    <t>Site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</si>
</sst>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
    <numFmt numFmtId="165" formatCode="d\ mmm\ yyyy"/>
    <numFmt numFmtId="166" formatCode="&quot;$&quot;#,##0"/>
  </numFmts>
  <fonts count="57" x14ac:knownFonts="1">
    <font>
      <sz val="11"/>
      <color theme="1"/>
      <name val="Aptos Narrow"/>
      <family val="2"/>
      <scheme val="minor"/>
    </font>
    <font>
      <sz val="10"/>
      <name val="Arial"/>
    </font>
    <font>
      <sz val="12"/>
      <name val="Arial"/>
      <family val="2"/>
    </font>
    <font>
      <sz val="14"/>
      <name val="Arial Black"/>
      <family val="2"/>
    </font>
    <font>
      <b/>
      <sz val="9"/>
      <name val="Arial"/>
      <family val="2"/>
    </font>
    <font>
      <sz val="9"/>
      <name val="Arial"/>
      <family val="2"/>
    </font>
    <font>
      <sz val="10"/>
      <name val="Arial"/>
      <family val="2"/>
    </font>
    <font>
      <u/>
      <sz val="10"/>
      <color indexed="12"/>
      <name val="Arial"/>
      <family val="2"/>
    </font>
    <font>
      <u/>
      <sz val="10"/>
      <name val="Arial"/>
      <family val="2"/>
    </font>
    <font>
      <sz val="10"/>
      <color indexed="10"/>
      <name val="Arial"/>
      <family val="2"/>
    </font>
    <font>
      <sz val="10"/>
      <color indexed="9"/>
      <name val="Arial Black"/>
      <family val="2"/>
    </font>
    <font>
      <sz val="10"/>
      <color indexed="9"/>
      <name val="Arial"/>
      <family val="2"/>
    </font>
    <font>
      <b/>
      <sz val="14"/>
      <name val="Arial"/>
      <family val="2"/>
    </font>
    <font>
      <b/>
      <sz val="10"/>
      <name val="Arial"/>
      <family val="2"/>
    </font>
    <font>
      <sz val="8"/>
      <name val="Courier New"/>
      <family val="3"/>
    </font>
    <font>
      <b/>
      <sz val="10"/>
      <name val="Courier New"/>
      <family val="3"/>
    </font>
    <font>
      <b/>
      <sz val="12"/>
      <name val="Arial"/>
      <family val="2"/>
    </font>
    <font>
      <b/>
      <sz val="10"/>
      <color theme="4"/>
      <name val="Arial"/>
      <family val="2"/>
    </font>
    <font>
      <b/>
      <sz val="11"/>
      <name val="Arial"/>
      <family val="2"/>
    </font>
    <font>
      <sz val="8"/>
      <name val="Arial"/>
      <family val="2"/>
    </font>
    <font>
      <b/>
      <sz val="10"/>
      <color indexed="9"/>
      <name val="Arial"/>
      <family val="2"/>
    </font>
    <font>
      <sz val="6"/>
      <name val="Arial"/>
      <family val="2"/>
    </font>
    <font>
      <sz val="8"/>
      <color indexed="8"/>
      <name val="Arial"/>
      <family val="2"/>
    </font>
    <font>
      <b/>
      <sz val="8"/>
      <color indexed="8"/>
      <name val="Arial"/>
      <family val="2"/>
    </font>
    <font>
      <b/>
      <sz val="8"/>
      <name val="Arial"/>
      <family val="2"/>
    </font>
    <font>
      <vertAlign val="superscript"/>
      <sz val="8"/>
      <name val="Arial"/>
      <family val="2"/>
    </font>
    <font>
      <i/>
      <sz val="8"/>
      <color indexed="8"/>
      <name val="Arial"/>
      <family val="2"/>
    </font>
    <font>
      <i/>
      <sz val="8"/>
      <name val="Arial"/>
      <family val="2"/>
    </font>
    <font>
      <vertAlign val="superscript"/>
      <sz val="8"/>
      <color indexed="8"/>
      <name val="Arial"/>
      <family val="2"/>
    </font>
    <font>
      <b/>
      <sz val="14"/>
      <color indexed="10"/>
      <name val="Arial Black"/>
      <family val="2"/>
    </font>
    <font>
      <b/>
      <sz val="8"/>
      <color indexed="10"/>
      <name val="Arial"/>
      <family val="2"/>
    </font>
    <font>
      <b/>
      <sz val="8"/>
      <color indexed="12"/>
      <name val="Arial"/>
      <family val="2"/>
    </font>
    <font>
      <sz val="7"/>
      <name val="Arial"/>
      <family val="2"/>
    </font>
    <font>
      <sz val="10"/>
      <color indexed="8"/>
      <name val="Arial"/>
      <family val="2"/>
    </font>
    <font>
      <b/>
      <u/>
      <sz val="8"/>
      <name val="Arial"/>
      <family val="2"/>
    </font>
    <font>
      <b/>
      <sz val="8"/>
      <color indexed="9"/>
      <name val="Arial"/>
      <family val="2"/>
    </font>
    <font>
      <b/>
      <sz val="7"/>
      <color indexed="10"/>
      <name val="Arial"/>
      <family val="2"/>
    </font>
    <font>
      <sz val="7"/>
      <color indexed="10"/>
      <name val="Arial"/>
      <family val="2"/>
    </font>
    <font>
      <vertAlign val="superscript"/>
      <sz val="7"/>
      <name val="Arial"/>
      <family val="2"/>
    </font>
    <font>
      <b/>
      <sz val="7"/>
      <name val="Arial"/>
      <family val="2"/>
    </font>
    <font>
      <b/>
      <sz val="7"/>
      <color indexed="48"/>
      <name val="Arial"/>
      <family val="2"/>
    </font>
    <font>
      <b/>
      <sz val="16"/>
      <name val="Arial"/>
      <family val="2"/>
    </font>
    <font>
      <b/>
      <sz val="12"/>
      <color indexed="10"/>
      <name val="Arial"/>
      <family val="2"/>
    </font>
    <font>
      <b/>
      <u/>
      <sz val="10"/>
      <name val="Arial"/>
      <family val="2"/>
    </font>
    <font>
      <b/>
      <sz val="14"/>
      <name val="Arial Black"/>
      <family val="2"/>
    </font>
    <font>
      <sz val="8"/>
      <color indexed="9"/>
      <name val="Arial"/>
      <family val="2"/>
    </font>
    <font>
      <sz val="8"/>
      <color indexed="62"/>
      <name val="Arial"/>
      <family val="2"/>
    </font>
    <font>
      <sz val="7"/>
      <color indexed="9"/>
      <name val="Arial"/>
      <family val="2"/>
    </font>
    <font>
      <b/>
      <vertAlign val="superscript"/>
      <sz val="8"/>
      <name val="Arial"/>
      <family val="2"/>
    </font>
    <font>
      <b/>
      <sz val="10"/>
      <color indexed="10"/>
      <name val="Arial"/>
      <family val="2"/>
    </font>
    <font>
      <sz val="8"/>
      <color indexed="56"/>
      <name val="Arial"/>
      <family val="2"/>
    </font>
    <font>
      <b/>
      <sz val="14"/>
      <color indexed="8"/>
      <name val="Arial Black"/>
      <family val="2"/>
    </font>
    <font>
      <b/>
      <sz val="8"/>
      <name val="Arial Black"/>
      <family val="2"/>
    </font>
    <font>
      <sz val="8"/>
      <color indexed="8"/>
      <name val="Arial Black"/>
      <family val="2"/>
    </font>
    <font>
      <sz val="14"/>
      <color indexed="8"/>
      <name val="Arial Black"/>
      <family val="2"/>
    </font>
    <font>
      <sz val="8"/>
      <name val="Arial Black"/>
      <family val="2"/>
    </font>
    <font>
      <sz val="16"/>
      <name val="Arial"/>
      <family val="2"/>
    </font>
  </fonts>
  <fills count="13">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lightGray">
        <fgColor indexed="22"/>
        <bgColor indexed="9"/>
      </patternFill>
    </fill>
    <fill>
      <patternFill patternType="solid">
        <fgColor indexed="8"/>
        <bgColor indexed="64"/>
      </patternFill>
    </fill>
    <fill>
      <patternFill patternType="solid">
        <fgColor indexed="44"/>
        <bgColor indexed="64"/>
      </patternFill>
    </fill>
    <fill>
      <patternFill patternType="solid">
        <fgColor indexed="42"/>
        <bgColor indexed="64"/>
      </patternFill>
    </fill>
    <fill>
      <patternFill patternType="solid">
        <fgColor indexed="46"/>
        <bgColor indexed="64"/>
      </patternFill>
    </fill>
    <fill>
      <patternFill patternType="solid">
        <fgColor indexed="43"/>
        <bgColor indexed="64"/>
      </patternFill>
    </fill>
    <fill>
      <patternFill patternType="solid">
        <fgColor indexed="65"/>
        <bgColor indexed="64"/>
      </patternFill>
    </fill>
    <fill>
      <patternFill patternType="solid">
        <fgColor indexed="55"/>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1" fillId="0" borderId="0"/>
    <xf numFmtId="44" fontId="6" fillId="0" borderId="0" applyFont="0" applyFill="0" applyBorder="0" applyAlignment="0" applyProtection="0"/>
    <xf numFmtId="44" fontId="6" fillId="0" borderId="0" applyFont="0" applyFill="0" applyBorder="0" applyAlignment="0" applyProtection="0"/>
    <xf numFmtId="0" fontId="7" fillId="0" borderId="0" applyNumberFormat="0" applyFill="0" applyBorder="0" applyAlignment="0" applyProtection="0">
      <alignment vertical="top"/>
      <protection locked="0"/>
    </xf>
    <xf numFmtId="0" fontId="6" fillId="0" borderId="0"/>
  </cellStyleXfs>
  <cellXfs count="823">
    <xf numFmtId="0" fontId="0" fillId="0" borderId="0" xfId="0"/>
    <xf numFmtId="0" fontId="1" fillId="2" borderId="0" xfId="1" applyFill="1"/>
    <xf numFmtId="0" fontId="1" fillId="0" borderId="0" xfId="1"/>
    <xf numFmtId="0" fontId="1" fillId="2" borderId="1" xfId="1" applyFill="1" applyBorder="1"/>
    <xf numFmtId="0" fontId="1" fillId="2" borderId="2" xfId="1" applyFill="1" applyBorder="1"/>
    <xf numFmtId="0" fontId="1" fillId="2" borderId="3" xfId="1" applyFill="1" applyBorder="1"/>
    <xf numFmtId="0" fontId="1" fillId="2" borderId="4" xfId="1" applyFill="1" applyBorder="1"/>
    <xf numFmtId="0" fontId="1" fillId="2" borderId="5" xfId="1" applyFill="1" applyBorder="1"/>
    <xf numFmtId="0" fontId="1" fillId="3" borderId="0" xfId="1" applyFill="1"/>
    <xf numFmtId="0" fontId="4" fillId="2" borderId="0" xfId="1" applyFont="1" applyFill="1"/>
    <xf numFmtId="0" fontId="5" fillId="2" borderId="0" xfId="1" applyFont="1" applyFill="1"/>
    <xf numFmtId="44" fontId="5" fillId="2" borderId="0" xfId="2" applyFont="1" applyFill="1" applyBorder="1" applyAlignment="1"/>
    <xf numFmtId="44" fontId="6" fillId="2" borderId="0" xfId="2" applyFill="1" applyBorder="1" applyAlignment="1"/>
    <xf numFmtId="0" fontId="5" fillId="2" borderId="0" xfId="3" applyNumberFormat="1" applyFont="1" applyFill="1" applyBorder="1" applyAlignment="1"/>
    <xf numFmtId="0" fontId="4" fillId="2" borderId="0" xfId="1" applyFont="1" applyFill="1" applyAlignment="1">
      <alignment horizontal="right"/>
    </xf>
    <xf numFmtId="0" fontId="8" fillId="2" borderId="0" xfId="4" applyNumberFormat="1" applyFont="1" applyFill="1" applyBorder="1" applyAlignment="1" applyProtection="1"/>
    <xf numFmtId="0" fontId="6" fillId="2" borderId="0" xfId="1" applyFont="1" applyFill="1"/>
    <xf numFmtId="0" fontId="9" fillId="2" borderId="0" xfId="1" applyFont="1" applyFill="1"/>
    <xf numFmtId="0" fontId="10" fillId="0" borderId="0" xfId="1" applyFont="1" applyAlignment="1">
      <alignment vertical="center"/>
    </xf>
    <xf numFmtId="0" fontId="11" fillId="0" borderId="0" xfId="1" applyFont="1" applyAlignment="1">
      <alignment vertical="center"/>
    </xf>
    <xf numFmtId="164" fontId="5" fillId="0" borderId="0" xfId="1" applyNumberFormat="1" applyFont="1"/>
    <xf numFmtId="164" fontId="1" fillId="0" borderId="0" xfId="1" applyNumberFormat="1"/>
    <xf numFmtId="0" fontId="12" fillId="2" borderId="0" xfId="1" applyFont="1" applyFill="1"/>
    <xf numFmtId="0" fontId="12" fillId="0" borderId="0" xfId="1" applyFont="1"/>
    <xf numFmtId="0" fontId="5" fillId="0" borderId="0" xfId="1" applyFont="1"/>
    <xf numFmtId="0" fontId="4" fillId="0" borderId="0" xfId="1" applyFont="1" applyAlignment="1">
      <alignment vertical="center"/>
    </xf>
    <xf numFmtId="0" fontId="13" fillId="0" borderId="0" xfId="1" applyFont="1" applyAlignment="1">
      <alignment vertical="center"/>
    </xf>
    <xf numFmtId="164" fontId="4" fillId="0" borderId="0" xfId="1" applyNumberFormat="1" applyFont="1"/>
    <xf numFmtId="164" fontId="13" fillId="0" borderId="0" xfId="1" applyNumberFormat="1" applyFont="1" applyAlignment="1">
      <alignment vertical="center"/>
    </xf>
    <xf numFmtId="0" fontId="14" fillId="2" borderId="0" xfId="1" applyFont="1" applyFill="1"/>
    <xf numFmtId="0" fontId="15" fillId="2" borderId="0" xfId="1" applyFont="1" applyFill="1"/>
    <xf numFmtId="0" fontId="16" fillId="2" borderId="6" xfId="1" applyFont="1" applyFill="1" applyBorder="1"/>
    <xf numFmtId="0" fontId="1" fillId="2" borderId="7" xfId="1" applyFill="1" applyBorder="1"/>
    <xf numFmtId="0" fontId="1" fillId="2" borderId="8" xfId="1" applyFill="1" applyBorder="1"/>
    <xf numFmtId="0" fontId="1" fillId="4" borderId="0" xfId="1" applyFill="1"/>
    <xf numFmtId="0" fontId="17" fillId="2" borderId="0" xfId="1" applyFont="1" applyFill="1"/>
    <xf numFmtId="0" fontId="16" fillId="2" borderId="5" xfId="1" applyFont="1" applyFill="1" applyBorder="1" applyAlignment="1">
      <alignment horizontal="left"/>
    </xf>
    <xf numFmtId="0" fontId="1" fillId="2" borderId="9" xfId="1" applyFill="1" applyBorder="1"/>
    <xf numFmtId="0" fontId="1" fillId="2" borderId="5" xfId="1" applyFill="1" applyBorder="1" applyAlignment="1">
      <alignment horizontal="left"/>
    </xf>
    <xf numFmtId="0" fontId="13" fillId="2" borderId="0" xfId="1" applyFont="1" applyFill="1" applyAlignment="1">
      <alignment horizontal="left"/>
    </xf>
    <xf numFmtId="0" fontId="1" fillId="2" borderId="5" xfId="1" applyFill="1" applyBorder="1" applyAlignment="1">
      <alignment horizontal="center"/>
    </xf>
    <xf numFmtId="0" fontId="1" fillId="2" borderId="0" xfId="1" applyFill="1" applyAlignment="1">
      <alignment horizontal="left"/>
    </xf>
    <xf numFmtId="0" fontId="13" fillId="2" borderId="5" xfId="1" applyFont="1" applyFill="1" applyBorder="1" applyAlignment="1">
      <alignment horizontal="left"/>
    </xf>
    <xf numFmtId="0" fontId="1" fillId="2" borderId="5" xfId="1" applyFill="1" applyBorder="1" applyAlignment="1">
      <alignment horizontal="justify" vertical="top" wrapText="1"/>
    </xf>
    <xf numFmtId="0" fontId="18" fillId="2" borderId="0" xfId="1" applyFont="1" applyFill="1"/>
    <xf numFmtId="0" fontId="4" fillId="2" borderId="5" xfId="1" applyFont="1" applyFill="1" applyBorder="1" applyAlignment="1">
      <alignment horizontal="left"/>
    </xf>
    <xf numFmtId="0" fontId="4" fillId="2" borderId="0" xfId="1" applyFont="1" applyFill="1" applyAlignment="1">
      <alignment vertical="top" wrapText="1"/>
    </xf>
    <xf numFmtId="0" fontId="1" fillId="5" borderId="18" xfId="1" applyFill="1" applyBorder="1" applyAlignment="1" applyProtection="1">
      <alignment horizontal="left"/>
      <protection locked="0"/>
    </xf>
    <xf numFmtId="0" fontId="1" fillId="5" borderId="19" xfId="1" applyFill="1" applyBorder="1" applyAlignment="1" applyProtection="1">
      <alignment horizontal="left"/>
      <protection locked="0"/>
    </xf>
    <xf numFmtId="0" fontId="1" fillId="5" borderId="20" xfId="1" applyFill="1" applyBorder="1" applyAlignment="1" applyProtection="1">
      <alignment horizontal="left"/>
      <protection locked="0"/>
    </xf>
    <xf numFmtId="0" fontId="1" fillId="2" borderId="6" xfId="1" applyFill="1" applyBorder="1"/>
    <xf numFmtId="0" fontId="1" fillId="2" borderId="1" xfId="1" applyFill="1" applyBorder="1" applyAlignment="1">
      <alignment vertical="top" wrapText="1"/>
    </xf>
    <xf numFmtId="0" fontId="1" fillId="2" borderId="2" xfId="1" applyFill="1" applyBorder="1" applyAlignment="1">
      <alignment vertical="top" wrapText="1"/>
    </xf>
    <xf numFmtId="0" fontId="1" fillId="2" borderId="4" xfId="1" applyFill="1" applyBorder="1" applyAlignment="1">
      <alignment vertical="top" wrapText="1"/>
    </xf>
    <xf numFmtId="0" fontId="1" fillId="2" borderId="0" xfId="1" applyFill="1" applyAlignment="1">
      <alignment vertical="top" wrapText="1"/>
    </xf>
    <xf numFmtId="0" fontId="1" fillId="2" borderId="6" xfId="1" applyFill="1" applyBorder="1" applyAlignment="1">
      <alignment vertical="top" wrapText="1"/>
    </xf>
    <xf numFmtId="0" fontId="1" fillId="2" borderId="7" xfId="1" applyFill="1" applyBorder="1" applyAlignment="1">
      <alignment vertical="top" wrapText="1"/>
    </xf>
    <xf numFmtId="0" fontId="12" fillId="2" borderId="24" xfId="1" applyFont="1" applyFill="1" applyBorder="1" applyAlignment="1">
      <alignment vertical="top"/>
    </xf>
    <xf numFmtId="0" fontId="12" fillId="0" borderId="24" xfId="1" applyFont="1" applyBorder="1" applyAlignment="1">
      <alignment vertical="top"/>
    </xf>
    <xf numFmtId="0" fontId="21" fillId="2" borderId="34" xfId="1" applyFont="1" applyFill="1" applyBorder="1"/>
    <xf numFmtId="0" fontId="22" fillId="2" borderId="35" xfId="1" applyFont="1" applyFill="1" applyBorder="1" applyAlignment="1">
      <alignment horizontal="justify" vertical="top" wrapText="1"/>
    </xf>
    <xf numFmtId="0" fontId="22" fillId="2" borderId="35" xfId="1" applyFont="1" applyFill="1" applyBorder="1" applyAlignment="1">
      <alignment horizontal="left" vertical="top"/>
    </xf>
    <xf numFmtId="164" fontId="23" fillId="0" borderId="36" xfId="1" applyNumberFormat="1" applyFont="1" applyBorder="1" applyAlignment="1">
      <alignment horizontal="center"/>
    </xf>
    <xf numFmtId="0" fontId="22" fillId="2" borderId="35" xfId="1" applyFont="1" applyFill="1" applyBorder="1" applyAlignment="1">
      <alignment horizontal="center" vertical="center"/>
    </xf>
    <xf numFmtId="9" fontId="23" fillId="0" borderId="36" xfId="1" applyNumberFormat="1" applyFont="1" applyBorder="1" applyAlignment="1">
      <alignment horizontal="center"/>
    </xf>
    <xf numFmtId="0" fontId="21" fillId="2" borderId="34" xfId="5" applyFont="1" applyFill="1" applyBorder="1"/>
    <xf numFmtId="0" fontId="22" fillId="2" borderId="35" xfId="5" applyFont="1" applyFill="1" applyBorder="1" applyAlignment="1">
      <alignment horizontal="justify" vertical="top" wrapText="1"/>
    </xf>
    <xf numFmtId="166" fontId="23" fillId="0" borderId="36" xfId="1" applyNumberFormat="1" applyFont="1" applyBorder="1" applyAlignment="1">
      <alignment horizontal="center"/>
    </xf>
    <xf numFmtId="0" fontId="1" fillId="2" borderId="0" xfId="1" applyFill="1" applyAlignment="1">
      <alignment wrapText="1"/>
    </xf>
    <xf numFmtId="0" fontId="29" fillId="0" borderId="24" xfId="1" applyFont="1" applyBorder="1" applyAlignment="1">
      <alignment horizontal="center" vertical="top" wrapText="1"/>
    </xf>
    <xf numFmtId="0" fontId="29" fillId="0" borderId="24" xfId="1" applyFont="1" applyBorder="1" applyAlignment="1">
      <alignment horizontal="center" vertical="top"/>
    </xf>
    <xf numFmtId="0" fontId="19" fillId="0" borderId="10" xfId="1" applyFont="1" applyBorder="1" applyAlignment="1">
      <alignment wrapText="1"/>
    </xf>
    <xf numFmtId="0" fontId="19" fillId="0" borderId="39" xfId="1" applyFont="1" applyBorder="1" applyAlignment="1">
      <alignment wrapText="1"/>
    </xf>
    <xf numFmtId="0" fontId="19" fillId="0" borderId="3" xfId="1" applyFont="1" applyBorder="1"/>
    <xf numFmtId="0" fontId="19" fillId="0" borderId="0" xfId="1" applyFont="1"/>
    <xf numFmtId="0" fontId="19" fillId="0" borderId="40" xfId="1" applyFont="1" applyBorder="1" applyAlignment="1">
      <alignment wrapText="1"/>
    </xf>
    <xf numFmtId="0" fontId="19" fillId="0" borderId="5" xfId="1" applyFont="1" applyBorder="1"/>
    <xf numFmtId="0" fontId="19" fillId="0" borderId="41" xfId="1" applyFont="1" applyBorder="1" applyAlignment="1">
      <alignment wrapText="1"/>
    </xf>
    <xf numFmtId="0" fontId="19" fillId="0" borderId="8" xfId="1" applyFont="1" applyBorder="1"/>
    <xf numFmtId="0" fontId="19" fillId="0" borderId="0" xfId="1" applyFont="1" applyAlignment="1">
      <alignment wrapText="1"/>
    </xf>
    <xf numFmtId="0" fontId="22" fillId="0" borderId="39" xfId="1" applyFont="1" applyBorder="1" applyAlignment="1">
      <alignment vertical="top" wrapText="1"/>
    </xf>
    <xf numFmtId="0" fontId="19" fillId="0" borderId="39" xfId="1" applyFont="1" applyBorder="1"/>
    <xf numFmtId="0" fontId="22" fillId="0" borderId="40" xfId="1" applyFont="1" applyBorder="1" applyAlignment="1">
      <alignment vertical="top" wrapText="1"/>
    </xf>
    <xf numFmtId="0" fontId="19" fillId="0" borderId="40" xfId="1" applyFont="1" applyBorder="1"/>
    <xf numFmtId="0" fontId="22" fillId="0" borderId="41" xfId="1" applyFont="1" applyBorder="1" applyAlignment="1">
      <alignment vertical="top" wrapText="1"/>
    </xf>
    <xf numFmtId="0" fontId="19" fillId="0" borderId="41" xfId="1" applyFont="1" applyBorder="1"/>
    <xf numFmtId="0" fontId="19" fillId="0" borderId="39" xfId="1" applyFont="1" applyBorder="1" applyAlignment="1">
      <alignment horizontal="justify" vertical="top" wrapText="1"/>
    </xf>
    <xf numFmtId="0" fontId="19" fillId="0" borderId="2" xfId="1" applyFont="1" applyBorder="1"/>
    <xf numFmtId="0" fontId="1" fillId="2" borderId="0" xfId="1" applyFill="1" applyAlignment="1">
      <alignment vertical="center" wrapText="1"/>
    </xf>
    <xf numFmtId="0" fontId="3" fillId="2" borderId="0" xfId="1" applyFont="1" applyFill="1" applyAlignment="1">
      <alignment vertical="top"/>
    </xf>
    <xf numFmtId="0" fontId="3" fillId="2" borderId="0" xfId="1" applyFont="1" applyFill="1" applyAlignment="1">
      <alignment vertical="top" wrapText="1"/>
    </xf>
    <xf numFmtId="0" fontId="3" fillId="2" borderId="0" xfId="1" applyFont="1" applyFill="1" applyAlignment="1">
      <alignment horizontal="center" vertical="top" wrapText="1"/>
    </xf>
    <xf numFmtId="164" fontId="3" fillId="2" borderId="0" xfId="1" applyNumberFormat="1" applyFont="1" applyFill="1" applyAlignment="1">
      <alignment horizontal="center" vertical="top" wrapText="1"/>
    </xf>
    <xf numFmtId="164" fontId="24" fillId="2" borderId="0" xfId="1" applyNumberFormat="1" applyFont="1" applyFill="1" applyAlignment="1">
      <alignment horizontal="right"/>
    </xf>
    <xf numFmtId="0" fontId="19" fillId="2" borderId="0" xfId="1" applyFont="1" applyFill="1" applyAlignment="1" applyProtection="1">
      <alignment vertical="top"/>
      <protection locked="0"/>
    </xf>
    <xf numFmtId="0" fontId="19" fillId="2" borderId="4" xfId="1" applyFont="1" applyFill="1" applyBorder="1" applyAlignment="1" applyProtection="1">
      <alignment vertical="top"/>
      <protection locked="0"/>
    </xf>
    <xf numFmtId="0" fontId="24" fillId="2" borderId="0" xfId="1" applyFont="1" applyFill="1" applyAlignment="1">
      <alignment vertical="top"/>
    </xf>
    <xf numFmtId="0" fontId="19" fillId="2" borderId="0" xfId="1" applyFont="1" applyFill="1" applyAlignment="1">
      <alignment vertical="top" wrapText="1"/>
    </xf>
    <xf numFmtId="0" fontId="19" fillId="2" borderId="0" xfId="1" applyFont="1" applyFill="1" applyAlignment="1">
      <alignment horizontal="center" vertical="top" wrapText="1"/>
    </xf>
    <xf numFmtId="164" fontId="19" fillId="2" borderId="0" xfId="1" applyNumberFormat="1" applyFont="1" applyFill="1" applyAlignment="1">
      <alignment horizontal="center" vertical="top" wrapText="1"/>
    </xf>
    <xf numFmtId="164" fontId="24" fillId="2" borderId="0" xfId="1" applyNumberFormat="1" applyFont="1" applyFill="1" applyAlignment="1">
      <alignment horizontal="right" vertical="top" wrapText="1"/>
    </xf>
    <xf numFmtId="0" fontId="19" fillId="2" borderId="5" xfId="1" applyFont="1" applyFill="1" applyBorder="1" applyAlignment="1" applyProtection="1">
      <alignment vertical="top"/>
      <protection locked="0"/>
    </xf>
    <xf numFmtId="0" fontId="19" fillId="2" borderId="0" xfId="1" applyFont="1" applyFill="1"/>
    <xf numFmtId="0" fontId="1" fillId="2" borderId="0" xfId="1" applyFill="1" applyAlignment="1" applyProtection="1">
      <alignment vertical="top"/>
      <protection locked="0"/>
    </xf>
    <xf numFmtId="0" fontId="1" fillId="2" borderId="4" xfId="1" applyFill="1" applyBorder="1" applyAlignment="1" applyProtection="1">
      <alignment vertical="top"/>
      <protection locked="0"/>
    </xf>
    <xf numFmtId="0" fontId="31" fillId="2" borderId="0" xfId="1" applyFont="1" applyFill="1" applyAlignment="1" applyProtection="1">
      <alignment vertical="top"/>
      <protection locked="0"/>
    </xf>
    <xf numFmtId="0" fontId="6" fillId="2" borderId="0" xfId="1" applyFont="1" applyFill="1" applyAlignment="1">
      <alignment vertical="top" wrapText="1"/>
    </xf>
    <xf numFmtId="0" fontId="19" fillId="2" borderId="0" xfId="1" applyFont="1" applyFill="1" applyAlignment="1">
      <alignment vertical="top"/>
    </xf>
    <xf numFmtId="164" fontId="6" fillId="2" borderId="0" xfId="1" applyNumberFormat="1" applyFont="1" applyFill="1" applyAlignment="1">
      <alignment horizontal="center" vertical="top" wrapText="1"/>
    </xf>
    <xf numFmtId="0" fontId="1" fillId="2" borderId="5" xfId="1" applyFill="1" applyBorder="1" applyAlignment="1" applyProtection="1">
      <alignment vertical="top"/>
      <protection locked="0"/>
    </xf>
    <xf numFmtId="0" fontId="6" fillId="2" borderId="0" xfId="1" applyFont="1" applyFill="1" applyAlignment="1" applyProtection="1">
      <alignment vertical="top"/>
      <protection locked="0"/>
    </xf>
    <xf numFmtId="0" fontId="6" fillId="2" borderId="4" xfId="1" applyFont="1" applyFill="1" applyBorder="1" applyAlignment="1" applyProtection="1">
      <alignment vertical="top"/>
      <protection locked="0"/>
    </xf>
    <xf numFmtId="0" fontId="4" fillId="2" borderId="0" xfId="1" applyFont="1" applyFill="1" applyAlignment="1">
      <alignment vertical="top"/>
    </xf>
    <xf numFmtId="0" fontId="6" fillId="2" borderId="5" xfId="1" applyFont="1" applyFill="1" applyBorder="1" applyAlignment="1" applyProtection="1">
      <alignment vertical="top"/>
      <protection locked="0"/>
    </xf>
    <xf numFmtId="49" fontId="5" fillId="2" borderId="0" xfId="1" applyNumberFormat="1" applyFont="1" applyFill="1" applyAlignment="1" applyProtection="1">
      <alignment horizontal="left" vertical="top"/>
      <protection locked="0"/>
    </xf>
    <xf numFmtId="0" fontId="32" fillId="2" borderId="0" xfId="1" applyFont="1" applyFill="1" applyAlignment="1">
      <alignment horizontal="left" vertical="top"/>
    </xf>
    <xf numFmtId="164" fontId="32" fillId="2" borderId="0" xfId="1" applyNumberFormat="1" applyFont="1" applyFill="1" applyAlignment="1">
      <alignment horizontal="left" vertical="top"/>
    </xf>
    <xf numFmtId="0" fontId="19" fillId="2" borderId="4" xfId="1" applyFont="1" applyFill="1" applyBorder="1" applyAlignment="1">
      <alignment vertical="top"/>
    </xf>
    <xf numFmtId="0" fontId="19" fillId="2" borderId="0" xfId="1" applyFont="1" applyFill="1" applyAlignment="1">
      <alignment horizontal="center" vertical="center" wrapText="1"/>
    </xf>
    <xf numFmtId="164" fontId="19" fillId="2" borderId="0" xfId="1" applyNumberFormat="1" applyFont="1" applyFill="1" applyAlignment="1">
      <alignment horizontal="center" vertical="top" readingOrder="1"/>
    </xf>
    <xf numFmtId="0" fontId="19" fillId="2" borderId="5" xfId="1" applyFont="1" applyFill="1" applyBorder="1" applyAlignment="1">
      <alignment vertical="top"/>
    </xf>
    <xf numFmtId="0" fontId="33" fillId="0" borderId="0" xfId="1" applyFont="1"/>
    <xf numFmtId="0" fontId="34" fillId="2" borderId="0" xfId="1" applyFont="1" applyFill="1" applyAlignment="1">
      <alignment vertical="top"/>
    </xf>
    <xf numFmtId="164" fontId="6" fillId="2" borderId="0" xfId="1" applyNumberFormat="1" applyFont="1" applyFill="1" applyAlignment="1">
      <alignment horizontal="center" wrapText="1"/>
    </xf>
    <xf numFmtId="0" fontId="35" fillId="6" borderId="44" xfId="1" applyFont="1" applyFill="1" applyBorder="1" applyAlignment="1">
      <alignment horizontal="center" wrapText="1"/>
    </xf>
    <xf numFmtId="0" fontId="35" fillId="6" borderId="30" xfId="1" applyFont="1" applyFill="1" applyBorder="1" applyAlignment="1">
      <alignment horizontal="center" wrapText="1"/>
    </xf>
    <xf numFmtId="164" fontId="35" fillId="6" borderId="28" xfId="1" applyNumberFormat="1" applyFont="1" applyFill="1" applyBorder="1" applyAlignment="1">
      <alignment horizontal="center" wrapText="1"/>
    </xf>
    <xf numFmtId="164" fontId="35" fillId="6" borderId="44" xfId="1" applyNumberFormat="1" applyFont="1" applyFill="1" applyBorder="1" applyAlignment="1">
      <alignment horizontal="center" wrapText="1"/>
    </xf>
    <xf numFmtId="164" fontId="35" fillId="6" borderId="27" xfId="1" applyNumberFormat="1" applyFont="1" applyFill="1" applyBorder="1" applyAlignment="1">
      <alignment horizontal="center" wrapText="1"/>
    </xf>
    <xf numFmtId="164" fontId="35" fillId="6" borderId="27" xfId="1" applyNumberFormat="1" applyFont="1" applyFill="1" applyBorder="1" applyAlignment="1">
      <alignment horizontal="center" vertical="top" wrapText="1"/>
    </xf>
    <xf numFmtId="0" fontId="19" fillId="0" borderId="45" xfId="1" applyFont="1" applyBorder="1" applyAlignment="1">
      <alignment horizontal="left" vertical="top" wrapText="1"/>
    </xf>
    <xf numFmtId="0" fontId="24" fillId="0" borderId="46" xfId="1" applyFont="1" applyBorder="1" applyAlignment="1">
      <alignment horizontal="center" vertical="center" wrapText="1"/>
    </xf>
    <xf numFmtId="0" fontId="24" fillId="7" borderId="46" xfId="1" applyFont="1" applyFill="1" applyBorder="1" applyAlignment="1">
      <alignment horizontal="center" vertical="center" wrapText="1"/>
    </xf>
    <xf numFmtId="0" fontId="19" fillId="0" borderId="46" xfId="1" applyFont="1" applyBorder="1" applyAlignment="1">
      <alignment horizontal="center" vertical="center" wrapText="1"/>
    </xf>
    <xf numFmtId="164" fontId="24" fillId="9" borderId="45" xfId="1" applyNumberFormat="1" applyFont="1" applyFill="1" applyBorder="1" applyAlignment="1">
      <alignment horizontal="center" vertical="center" wrapText="1"/>
    </xf>
    <xf numFmtId="164" fontId="19" fillId="10" borderId="46" xfId="1" applyNumberFormat="1" applyFont="1" applyFill="1" applyBorder="1" applyAlignment="1">
      <alignment horizontal="center" vertical="center" wrapText="1"/>
    </xf>
    <xf numFmtId="164" fontId="24" fillId="0" borderId="47" xfId="1" applyNumberFormat="1" applyFont="1" applyBorder="1" applyAlignment="1" applyProtection="1">
      <alignment horizontal="center" vertical="center" wrapText="1"/>
      <protection locked="0"/>
    </xf>
    <xf numFmtId="164" fontId="24" fillId="2" borderId="47" xfId="1" applyNumberFormat="1" applyFont="1" applyFill="1" applyBorder="1" applyAlignment="1" applyProtection="1">
      <alignment horizontal="center" vertical="center" wrapText="1"/>
      <protection locked="0"/>
    </xf>
    <xf numFmtId="0" fontId="19" fillId="2" borderId="49" xfId="1" applyFont="1" applyFill="1" applyBorder="1" applyAlignment="1" applyProtection="1">
      <alignment horizontal="center" vertical="center" wrapText="1"/>
      <protection locked="0"/>
    </xf>
    <xf numFmtId="0" fontId="19" fillId="0" borderId="50" xfId="1" applyFont="1" applyBorder="1" applyAlignment="1">
      <alignment horizontal="center" vertical="center" wrapText="1"/>
    </xf>
    <xf numFmtId="0" fontId="19" fillId="2" borderId="51" xfId="1" applyFont="1" applyFill="1" applyBorder="1" applyAlignment="1">
      <alignment horizontal="center" vertical="center"/>
    </xf>
    <xf numFmtId="0" fontId="24" fillId="0" borderId="45" xfId="1" applyFont="1" applyBorder="1" applyAlignment="1">
      <alignment horizontal="center" vertical="center" wrapText="1"/>
    </xf>
    <xf numFmtId="0" fontId="19" fillId="11" borderId="52" xfId="1" applyFont="1" applyFill="1" applyBorder="1" applyAlignment="1" applyProtection="1">
      <alignment horizontal="center" vertical="center" wrapText="1"/>
      <protection locked="0"/>
    </xf>
    <xf numFmtId="0" fontId="19" fillId="0" borderId="45" xfId="1" applyFont="1" applyBorder="1" applyAlignment="1">
      <alignment horizontal="center" vertical="center" wrapText="1"/>
    </xf>
    <xf numFmtId="164" fontId="19" fillId="10" borderId="45" xfId="1" applyNumberFormat="1" applyFont="1" applyFill="1" applyBorder="1" applyAlignment="1">
      <alignment horizontal="center" vertical="center" wrapText="1"/>
    </xf>
    <xf numFmtId="0" fontId="19" fillId="2" borderId="53" xfId="1" applyFont="1" applyFill="1" applyBorder="1" applyAlignment="1" applyProtection="1">
      <alignment horizontal="center" vertical="center" wrapText="1"/>
      <protection locked="0"/>
    </xf>
    <xf numFmtId="0" fontId="19" fillId="0" borderId="41" xfId="1" applyFont="1" applyBorder="1" applyAlignment="1">
      <alignment horizontal="center" vertical="center" wrapText="1"/>
    </xf>
    <xf numFmtId="0" fontId="19" fillId="2" borderId="54" xfId="1" applyFont="1" applyFill="1" applyBorder="1" applyAlignment="1">
      <alignment horizontal="center" vertical="center"/>
    </xf>
    <xf numFmtId="0" fontId="24" fillId="0" borderId="47" xfId="1" applyFont="1" applyBorder="1" applyAlignment="1" applyProtection="1">
      <alignment horizontal="center" vertical="center" wrapText="1"/>
      <protection locked="0"/>
    </xf>
    <xf numFmtId="0" fontId="19" fillId="0" borderId="47" xfId="1" applyFont="1" applyBorder="1" applyAlignment="1">
      <alignment horizontal="center" vertical="center" wrapText="1"/>
    </xf>
    <xf numFmtId="164" fontId="19" fillId="10" borderId="47" xfId="1" applyNumberFormat="1" applyFont="1" applyFill="1" applyBorder="1" applyAlignment="1">
      <alignment horizontal="center" vertical="center"/>
    </xf>
    <xf numFmtId="0" fontId="19" fillId="2" borderId="55" xfId="1" applyFont="1" applyFill="1" applyBorder="1" applyAlignment="1" applyProtection="1">
      <alignment horizontal="center" vertical="center" wrapText="1"/>
      <protection locked="0"/>
    </xf>
    <xf numFmtId="0" fontId="19" fillId="0" borderId="14" xfId="1" applyFont="1" applyBorder="1" applyAlignment="1">
      <alignment horizontal="center" vertical="center" wrapText="1"/>
    </xf>
    <xf numFmtId="0" fontId="19" fillId="2" borderId="56" xfId="1" applyFont="1" applyFill="1" applyBorder="1" applyAlignment="1">
      <alignment horizontal="center" vertical="center"/>
    </xf>
    <xf numFmtId="0" fontId="19" fillId="2" borderId="45" xfId="1" applyFont="1" applyFill="1" applyBorder="1" applyAlignment="1">
      <alignment horizontal="left" vertical="top" wrapText="1"/>
    </xf>
    <xf numFmtId="0" fontId="19" fillId="11" borderId="45" xfId="1" applyFont="1" applyFill="1" applyBorder="1" applyAlignment="1" applyProtection="1">
      <alignment horizontal="center" vertical="center" wrapText="1"/>
      <protection locked="0"/>
    </xf>
    <xf numFmtId="164" fontId="24" fillId="9" borderId="47" xfId="1" applyNumberFormat="1" applyFont="1" applyFill="1" applyBorder="1" applyAlignment="1">
      <alignment horizontal="center" vertical="center" wrapText="1"/>
    </xf>
    <xf numFmtId="164" fontId="24" fillId="2" borderId="45" xfId="1" applyNumberFormat="1" applyFont="1" applyFill="1" applyBorder="1" applyAlignment="1" applyProtection="1">
      <alignment horizontal="center" vertical="center" wrapText="1"/>
      <protection locked="0"/>
    </xf>
    <xf numFmtId="0" fontId="32" fillId="2" borderId="0" xfId="1" applyFont="1" applyFill="1" applyAlignment="1">
      <alignment wrapText="1"/>
    </xf>
    <xf numFmtId="0" fontId="22" fillId="2" borderId="55" xfId="1" applyFont="1" applyFill="1" applyBorder="1" applyAlignment="1" applyProtection="1">
      <alignment horizontal="center" wrapText="1"/>
      <protection locked="0"/>
    </xf>
    <xf numFmtId="0" fontId="19" fillId="0" borderId="14" xfId="1" applyFont="1" applyBorder="1" applyAlignment="1" applyProtection="1">
      <alignment horizontal="center"/>
      <protection locked="0"/>
    </xf>
    <xf numFmtId="0" fontId="19" fillId="0" borderId="12" xfId="1" applyFont="1" applyBorder="1" applyAlignment="1">
      <alignment horizontal="center" vertical="center" wrapText="1"/>
    </xf>
    <xf numFmtId="0" fontId="19" fillId="2" borderId="5" xfId="1" applyFont="1" applyFill="1" applyBorder="1"/>
    <xf numFmtId="164" fontId="19" fillId="10" borderId="47" xfId="1" applyNumberFormat="1" applyFont="1" applyFill="1" applyBorder="1" applyAlignment="1">
      <alignment horizontal="center" vertical="center" wrapText="1"/>
    </xf>
    <xf numFmtId="0" fontId="19" fillId="0" borderId="57" xfId="1" applyFont="1" applyBorder="1" applyAlignment="1">
      <alignment horizontal="center" vertical="center" wrapText="1"/>
    </xf>
    <xf numFmtId="164" fontId="19" fillId="10" borderId="57" xfId="1" applyNumberFormat="1" applyFont="1" applyFill="1" applyBorder="1" applyAlignment="1">
      <alignment horizontal="center" vertical="center" wrapText="1"/>
    </xf>
    <xf numFmtId="0" fontId="19" fillId="2" borderId="58" xfId="1" applyFont="1" applyFill="1" applyBorder="1" applyAlignment="1" applyProtection="1">
      <alignment horizontal="center" vertical="center" wrapText="1"/>
      <protection locked="0"/>
    </xf>
    <xf numFmtId="0" fontId="19" fillId="0" borderId="59" xfId="1" applyFont="1" applyBorder="1" applyAlignment="1">
      <alignment horizontal="center" vertical="center" wrapText="1"/>
    </xf>
    <xf numFmtId="0" fontId="19" fillId="2" borderId="60" xfId="1" applyFont="1" applyFill="1" applyBorder="1" applyAlignment="1">
      <alignment horizontal="center" vertical="center"/>
    </xf>
    <xf numFmtId="0" fontId="19" fillId="4" borderId="28" xfId="1" applyFont="1" applyFill="1" applyBorder="1" applyAlignment="1">
      <alignment wrapText="1"/>
    </xf>
    <xf numFmtId="0" fontId="19" fillId="4" borderId="29" xfId="1" applyFont="1" applyFill="1" applyBorder="1" applyAlignment="1">
      <alignment wrapText="1"/>
    </xf>
    <xf numFmtId="0" fontId="24" fillId="4" borderId="29" xfId="1" applyFont="1" applyFill="1" applyBorder="1" applyAlignment="1">
      <alignment horizontal="left"/>
    </xf>
    <xf numFmtId="0" fontId="19" fillId="4" borderId="29" xfId="1" applyFont="1" applyFill="1" applyBorder="1" applyAlignment="1">
      <alignment horizontal="center" wrapText="1"/>
    </xf>
    <xf numFmtId="164" fontId="19" fillId="4" borderId="29" xfId="1" applyNumberFormat="1" applyFont="1" applyFill="1" applyBorder="1" applyAlignment="1">
      <alignment horizontal="center" wrapText="1"/>
    </xf>
    <xf numFmtId="164" fontId="13" fillId="4" borderId="29" xfId="1" applyNumberFormat="1" applyFont="1" applyFill="1" applyBorder="1" applyAlignment="1">
      <alignment horizontal="center" wrapText="1"/>
    </xf>
    <xf numFmtId="0" fontId="24" fillId="0" borderId="47" xfId="1" applyFont="1" applyBorder="1" applyAlignment="1">
      <alignment horizontal="center" vertical="center" wrapText="1"/>
    </xf>
    <xf numFmtId="0" fontId="24" fillId="8" borderId="45" xfId="1" applyFont="1" applyFill="1" applyBorder="1" applyAlignment="1">
      <alignment horizontal="center" vertical="center" wrapText="1"/>
    </xf>
    <xf numFmtId="164" fontId="19" fillId="10" borderId="45" xfId="1" applyNumberFormat="1" applyFont="1" applyFill="1" applyBorder="1" applyAlignment="1">
      <alignment horizontal="center" vertical="center"/>
    </xf>
    <xf numFmtId="0" fontId="19" fillId="11" borderId="64" xfId="1" applyFont="1" applyFill="1" applyBorder="1" applyAlignment="1" applyProtection="1">
      <alignment horizontal="center" vertical="center" wrapText="1"/>
      <protection locked="0"/>
    </xf>
    <xf numFmtId="0" fontId="24" fillId="7" borderId="47" xfId="1" applyFont="1" applyFill="1" applyBorder="1" applyAlignment="1">
      <alignment horizontal="center" vertical="center" wrapText="1"/>
    </xf>
    <xf numFmtId="0" fontId="19" fillId="0" borderId="47" xfId="1" applyFont="1" applyBorder="1" applyAlignment="1">
      <alignment horizontal="left" vertical="top" wrapText="1"/>
    </xf>
    <xf numFmtId="0" fontId="19" fillId="11" borderId="47" xfId="1" applyFont="1" applyFill="1" applyBorder="1" applyAlignment="1" applyProtection="1">
      <alignment horizontal="center" vertical="center" wrapText="1"/>
      <protection locked="0"/>
    </xf>
    <xf numFmtId="0" fontId="19" fillId="2" borderId="56" xfId="1" applyFont="1" applyFill="1" applyBorder="1" applyAlignment="1" applyProtection="1">
      <alignment horizontal="center" vertical="center"/>
      <protection locked="0"/>
    </xf>
    <xf numFmtId="0" fontId="19" fillId="0" borderId="57" xfId="1" applyFont="1" applyBorder="1" applyAlignment="1">
      <alignment horizontal="left" vertical="top" wrapText="1"/>
    </xf>
    <xf numFmtId="0" fontId="24" fillId="0" borderId="57" xfId="1" applyFont="1" applyBorder="1" applyAlignment="1" applyProtection="1">
      <alignment horizontal="center" vertical="center" wrapText="1"/>
      <protection locked="0"/>
    </xf>
    <xf numFmtId="0" fontId="19" fillId="11" borderId="57" xfId="1" applyFont="1" applyFill="1" applyBorder="1" applyAlignment="1" applyProtection="1">
      <alignment horizontal="center" vertical="center" wrapText="1"/>
      <protection locked="0"/>
    </xf>
    <xf numFmtId="164" fontId="24" fillId="9" borderId="57" xfId="1" applyNumberFormat="1" applyFont="1" applyFill="1" applyBorder="1" applyAlignment="1">
      <alignment horizontal="center" vertical="center" wrapText="1"/>
    </xf>
    <xf numFmtId="164" fontId="24" fillId="0" borderId="57" xfId="1" applyNumberFormat="1" applyFont="1" applyBorder="1" applyAlignment="1" applyProtection="1">
      <alignment horizontal="center" vertical="center" wrapText="1"/>
      <protection locked="0"/>
    </xf>
    <xf numFmtId="164" fontId="24" fillId="2" borderId="57" xfId="1" applyNumberFormat="1" applyFont="1" applyFill="1" applyBorder="1" applyAlignment="1" applyProtection="1">
      <alignment horizontal="center" vertical="center" wrapText="1"/>
      <protection locked="0"/>
    </xf>
    <xf numFmtId="0" fontId="19" fillId="0" borderId="47" xfId="1" applyFont="1" applyBorder="1" applyAlignment="1">
      <alignment horizontal="center" vertical="center"/>
    </xf>
    <xf numFmtId="8" fontId="19" fillId="10" borderId="47" xfId="1" applyNumberFormat="1" applyFont="1" applyFill="1" applyBorder="1" applyAlignment="1">
      <alignment horizontal="center" vertical="center"/>
    </xf>
    <xf numFmtId="0" fontId="19" fillId="0" borderId="69" xfId="1" applyFont="1" applyBorder="1" applyAlignment="1">
      <alignment horizontal="left" vertical="top" wrapText="1"/>
    </xf>
    <xf numFmtId="0" fontId="24" fillId="0" borderId="69" xfId="1" applyFont="1" applyBorder="1" applyAlignment="1" applyProtection="1">
      <alignment horizontal="center" vertical="center" wrapText="1"/>
      <protection locked="0"/>
    </xf>
    <xf numFmtId="0" fontId="19" fillId="11" borderId="69" xfId="1" applyFont="1" applyFill="1" applyBorder="1" applyAlignment="1" applyProtection="1">
      <alignment horizontal="center" vertical="center" wrapText="1"/>
      <protection locked="0"/>
    </xf>
    <xf numFmtId="0" fontId="19" fillId="0" borderId="69" xfId="1" applyFont="1" applyBorder="1" applyAlignment="1">
      <alignment horizontal="center" vertical="center" wrapText="1"/>
    </xf>
    <xf numFmtId="164" fontId="24" fillId="9" borderId="69" xfId="1" applyNumberFormat="1" applyFont="1" applyFill="1" applyBorder="1" applyAlignment="1">
      <alignment horizontal="center" vertical="center" wrapText="1"/>
    </xf>
    <xf numFmtId="164" fontId="19" fillId="10" borderId="69" xfId="1" applyNumberFormat="1" applyFont="1" applyFill="1" applyBorder="1" applyAlignment="1">
      <alignment horizontal="center" vertical="center" wrapText="1"/>
    </xf>
    <xf numFmtId="164" fontId="24" fillId="0" borderId="69" xfId="1" applyNumberFormat="1" applyFont="1" applyBorder="1" applyAlignment="1" applyProtection="1">
      <alignment horizontal="center" vertical="center" wrapText="1"/>
      <protection locked="0"/>
    </xf>
    <xf numFmtId="0" fontId="24" fillId="0" borderId="45" xfId="1" applyFont="1" applyBorder="1" applyAlignment="1" applyProtection="1">
      <alignment horizontal="center" vertical="center" wrapText="1"/>
      <protection locked="0"/>
    </xf>
    <xf numFmtId="164" fontId="24" fillId="0" borderId="45" xfId="1" applyNumberFormat="1" applyFont="1" applyBorder="1" applyAlignment="1" applyProtection="1">
      <alignment horizontal="center" vertical="center" wrapText="1"/>
      <protection locked="0"/>
    </xf>
    <xf numFmtId="0" fontId="19" fillId="11" borderId="70" xfId="1" applyFont="1" applyFill="1" applyBorder="1" applyAlignment="1" applyProtection="1">
      <alignment horizontal="center" vertical="center" wrapText="1"/>
      <protection locked="0"/>
    </xf>
    <xf numFmtId="164" fontId="24" fillId="9" borderId="52" xfId="1" applyNumberFormat="1" applyFont="1" applyFill="1" applyBorder="1" applyAlignment="1">
      <alignment horizontal="center" vertical="center" wrapText="1"/>
    </xf>
    <xf numFmtId="164" fontId="19" fillId="10" borderId="70" xfId="1" applyNumberFormat="1" applyFont="1" applyFill="1" applyBorder="1" applyAlignment="1">
      <alignment horizontal="center" vertical="center" wrapText="1"/>
    </xf>
    <xf numFmtId="0" fontId="19" fillId="2" borderId="5" xfId="1" applyFont="1" applyFill="1" applyBorder="1" applyAlignment="1">
      <alignment horizontal="center" vertical="top"/>
    </xf>
    <xf numFmtId="0" fontId="32" fillId="2" borderId="0" xfId="1" applyFont="1" applyFill="1" applyAlignment="1">
      <alignment horizontal="justify" wrapText="1"/>
    </xf>
    <xf numFmtId="0" fontId="24" fillId="4" borderId="28" xfId="1" applyFont="1" applyFill="1" applyBorder="1" applyAlignment="1">
      <alignment vertical="top" wrapText="1"/>
    </xf>
    <xf numFmtId="0" fontId="19" fillId="4" borderId="29" xfId="1" applyFont="1" applyFill="1" applyBorder="1" applyAlignment="1">
      <alignment horizontal="justify" wrapText="1"/>
    </xf>
    <xf numFmtId="0" fontId="19" fillId="4" borderId="29" xfId="1" applyFont="1" applyFill="1" applyBorder="1" applyAlignment="1">
      <alignment horizontal="left" wrapText="1"/>
    </xf>
    <xf numFmtId="0" fontId="24" fillId="4" borderId="29" xfId="1" applyFont="1" applyFill="1" applyBorder="1" applyAlignment="1">
      <alignment horizontal="center"/>
    </xf>
    <xf numFmtId="164" fontId="4" fillId="4" borderId="29" xfId="1" applyNumberFormat="1" applyFont="1" applyFill="1" applyBorder="1" applyAlignment="1">
      <alignment horizontal="center" wrapText="1"/>
    </xf>
    <xf numFmtId="0" fontId="24" fillId="0" borderId="46" xfId="1" applyFont="1" applyBorder="1" applyAlignment="1" applyProtection="1">
      <alignment horizontal="center" vertical="center" wrapText="1"/>
      <protection locked="0"/>
    </xf>
    <xf numFmtId="0" fontId="19" fillId="11" borderId="71" xfId="1" applyFont="1" applyFill="1" applyBorder="1" applyAlignment="1" applyProtection="1">
      <alignment horizontal="center" vertical="center" wrapText="1"/>
      <protection locked="0"/>
    </xf>
    <xf numFmtId="164" fontId="24" fillId="9" borderId="46" xfId="1" applyNumberFormat="1" applyFont="1" applyFill="1" applyBorder="1" applyAlignment="1">
      <alignment horizontal="center" vertical="center" wrapText="1"/>
    </xf>
    <xf numFmtId="164" fontId="24" fillId="2" borderId="69" xfId="1" applyNumberFormat="1" applyFont="1" applyFill="1" applyBorder="1" applyAlignment="1" applyProtection="1">
      <alignment horizontal="center" vertical="center" wrapText="1"/>
      <protection locked="0"/>
    </xf>
    <xf numFmtId="0" fontId="1" fillId="2" borderId="0" xfId="1" applyFill="1" applyAlignment="1">
      <alignment vertical="top"/>
    </xf>
    <xf numFmtId="0" fontId="1" fillId="2" borderId="4" xfId="1" applyFill="1" applyBorder="1" applyAlignment="1">
      <alignment vertical="top"/>
    </xf>
    <xf numFmtId="0" fontId="19" fillId="0" borderId="7" xfId="1" applyFont="1" applyBorder="1" applyAlignment="1">
      <alignment horizontal="center" vertical="center" wrapText="1"/>
    </xf>
    <xf numFmtId="164" fontId="19" fillId="10" borderId="46" xfId="1" applyNumberFormat="1" applyFont="1" applyFill="1" applyBorder="1" applyAlignment="1">
      <alignment horizontal="center" vertical="center"/>
    </xf>
    <xf numFmtId="0" fontId="19" fillId="2" borderId="4" xfId="1" applyFont="1" applyFill="1" applyBorder="1"/>
    <xf numFmtId="0" fontId="19" fillId="11" borderId="38" xfId="1" applyFont="1" applyFill="1" applyBorder="1" applyAlignment="1" applyProtection="1">
      <alignment horizontal="center" vertical="center" wrapText="1"/>
      <protection locked="0"/>
    </xf>
    <xf numFmtId="164" fontId="19" fillId="10" borderId="72" xfId="1" applyNumberFormat="1" applyFont="1" applyFill="1" applyBorder="1" applyAlignment="1">
      <alignment horizontal="center" vertical="center" wrapText="1"/>
    </xf>
    <xf numFmtId="0" fontId="32" fillId="2" borderId="5" xfId="1" applyFont="1" applyFill="1" applyBorder="1" applyAlignment="1">
      <alignment wrapText="1"/>
    </xf>
    <xf numFmtId="164" fontId="41" fillId="2" borderId="0" xfId="1" applyNumberFormat="1" applyFont="1" applyFill="1" applyAlignment="1">
      <alignment horizontal="center" wrapText="1"/>
    </xf>
    <xf numFmtId="0" fontId="19" fillId="0" borderId="14" xfId="1" applyFont="1" applyBorder="1" applyAlignment="1" applyProtection="1">
      <alignment horizontal="center" vertical="center"/>
      <protection locked="0"/>
    </xf>
    <xf numFmtId="0" fontId="19" fillId="2" borderId="54" xfId="1" applyFont="1" applyFill="1" applyBorder="1" applyAlignment="1" applyProtection="1">
      <alignment horizontal="center" vertical="center"/>
      <protection locked="0"/>
    </xf>
    <xf numFmtId="0" fontId="19" fillId="0" borderId="46" xfId="1" applyFont="1" applyBorder="1" applyAlignment="1">
      <alignment horizontal="left" vertical="top" wrapText="1"/>
    </xf>
    <xf numFmtId="0" fontId="19" fillId="11" borderId="46" xfId="1" applyFont="1" applyFill="1" applyBorder="1" applyAlignment="1" applyProtection="1">
      <alignment horizontal="center" vertical="center" wrapText="1"/>
      <protection locked="0"/>
    </xf>
    <xf numFmtId="164" fontId="19" fillId="10" borderId="46" xfId="1" applyNumberFormat="1" applyFont="1" applyFill="1" applyBorder="1" applyAlignment="1">
      <alignment horizontal="center" vertical="top" wrapText="1"/>
    </xf>
    <xf numFmtId="164" fontId="24" fillId="0" borderId="46" xfId="1" applyNumberFormat="1" applyFont="1" applyBorder="1" applyAlignment="1" applyProtection="1">
      <alignment horizontal="center" vertical="center" wrapText="1"/>
      <protection locked="0"/>
    </xf>
    <xf numFmtId="164" fontId="24" fillId="2" borderId="46" xfId="1" applyNumberFormat="1" applyFont="1" applyFill="1" applyBorder="1" applyAlignment="1" applyProtection="1">
      <alignment horizontal="center" vertical="center" wrapText="1"/>
      <protection locked="0"/>
    </xf>
    <xf numFmtId="0" fontId="19" fillId="2" borderId="47" xfId="1" applyFont="1" applyFill="1" applyBorder="1" applyAlignment="1">
      <alignment horizontal="left" vertical="top" wrapText="1"/>
    </xf>
    <xf numFmtId="0" fontId="32" fillId="2" borderId="5" xfId="1" applyFont="1" applyFill="1" applyBorder="1" applyAlignment="1">
      <alignment vertical="top" wrapText="1"/>
    </xf>
    <xf numFmtId="0" fontId="19" fillId="2" borderId="57" xfId="1" applyFont="1" applyFill="1" applyBorder="1" applyAlignment="1">
      <alignment horizontal="left" vertical="top" wrapText="1"/>
    </xf>
    <xf numFmtId="164" fontId="24" fillId="0" borderId="12" xfId="1" applyNumberFormat="1" applyFont="1" applyBorder="1" applyAlignment="1" applyProtection="1">
      <alignment horizontal="center" vertical="center" wrapText="1"/>
      <protection locked="0"/>
    </xf>
    <xf numFmtId="0" fontId="22" fillId="2" borderId="56" xfId="1" applyFont="1" applyFill="1" applyBorder="1" applyAlignment="1" applyProtection="1">
      <alignment horizontal="center"/>
      <protection locked="0"/>
    </xf>
    <xf numFmtId="0" fontId="22" fillId="2" borderId="0" xfId="1" applyFont="1" applyFill="1" applyAlignment="1">
      <alignment vertical="top"/>
    </xf>
    <xf numFmtId="0" fontId="24" fillId="4" borderId="29" xfId="1" applyFont="1" applyFill="1" applyBorder="1"/>
    <xf numFmtId="0" fontId="24" fillId="10" borderId="46" xfId="1" applyFont="1" applyFill="1" applyBorder="1" applyAlignment="1">
      <alignment horizontal="center" vertical="center"/>
    </xf>
    <xf numFmtId="164" fontId="24" fillId="0" borderId="46" xfId="1" applyNumberFormat="1" applyFont="1" applyBorder="1" applyAlignment="1">
      <alignment horizontal="center" vertical="center" wrapText="1"/>
    </xf>
    <xf numFmtId="0" fontId="19" fillId="0" borderId="74" xfId="1" applyFont="1" applyBorder="1" applyAlignment="1">
      <alignment horizontal="center" vertical="center" wrapText="1"/>
    </xf>
    <xf numFmtId="0" fontId="24" fillId="10" borderId="47" xfId="1" applyFont="1" applyFill="1" applyBorder="1" applyAlignment="1">
      <alignment horizontal="center" vertical="center"/>
    </xf>
    <xf numFmtId="164" fontId="24" fillId="0" borderId="47" xfId="1" applyNumberFormat="1" applyFont="1" applyBorder="1" applyAlignment="1">
      <alignment horizontal="center" vertical="center" wrapText="1"/>
    </xf>
    <xf numFmtId="0" fontId="19" fillId="0" borderId="75" xfId="1" applyFont="1" applyBorder="1" applyAlignment="1">
      <alignment horizontal="center" vertical="center" wrapText="1"/>
    </xf>
    <xf numFmtId="0" fontId="24" fillId="10" borderId="57" xfId="1" applyFont="1" applyFill="1" applyBorder="1" applyAlignment="1">
      <alignment horizontal="center" vertical="center"/>
    </xf>
    <xf numFmtId="164" fontId="24" fillId="0" borderId="57" xfId="2" applyNumberFormat="1" applyFont="1" applyFill="1" applyBorder="1" applyAlignment="1">
      <alignment horizontal="center" vertical="center"/>
    </xf>
    <xf numFmtId="0" fontId="19" fillId="0" borderId="76" xfId="1" applyFont="1" applyBorder="1" applyAlignment="1">
      <alignment horizontal="center" vertical="center" wrapText="1"/>
    </xf>
    <xf numFmtId="0" fontId="11" fillId="2" borderId="0" xfId="1" applyFont="1" applyFill="1" applyAlignment="1">
      <alignment vertical="top" wrapText="1"/>
    </xf>
    <xf numFmtId="0" fontId="1" fillId="2" borderId="0" xfId="1" applyFill="1" applyAlignment="1">
      <alignment horizontal="right"/>
    </xf>
    <xf numFmtId="164" fontId="42" fillId="2" borderId="0" xfId="1" applyNumberFormat="1" applyFont="1" applyFill="1" applyAlignment="1">
      <alignment shrinkToFit="1"/>
    </xf>
    <xf numFmtId="0" fontId="1" fillId="0" borderId="0" xfId="1" applyAlignment="1">
      <alignment vertical="center" wrapText="1"/>
    </xf>
    <xf numFmtId="0" fontId="43" fillId="2" borderId="0" xfId="1" applyFont="1" applyFill="1" applyAlignment="1">
      <alignment horizontal="left" vertical="top"/>
    </xf>
    <xf numFmtId="0" fontId="19" fillId="2" borderId="0" xfId="1" applyFont="1" applyFill="1" applyAlignment="1">
      <alignment horizontal="left" vertical="top"/>
    </xf>
    <xf numFmtId="0" fontId="19" fillId="2" borderId="0" xfId="1" applyFont="1" applyFill="1" applyAlignment="1">
      <alignment vertical="top" readingOrder="1"/>
    </xf>
    <xf numFmtId="0" fontId="19" fillId="2" borderId="0" xfId="1" applyFont="1" applyFill="1" applyAlignment="1">
      <alignment horizontal="center" vertical="top" readingOrder="1"/>
    </xf>
    <xf numFmtId="0" fontId="35" fillId="6" borderId="44" xfId="1" applyFont="1" applyFill="1" applyBorder="1" applyAlignment="1">
      <alignment horizontal="center" vertical="top" wrapText="1"/>
    </xf>
    <xf numFmtId="0" fontId="35" fillId="6" borderId="27" xfId="1" applyFont="1" applyFill="1" applyBorder="1" applyAlignment="1">
      <alignment horizontal="center" vertical="top" wrapText="1"/>
    </xf>
    <xf numFmtId="0" fontId="35" fillId="6" borderId="26" xfId="1" applyFont="1" applyFill="1" applyBorder="1" applyAlignment="1">
      <alignment horizontal="center" wrapText="1"/>
    </xf>
    <xf numFmtId="164" fontId="35" fillId="6" borderId="25" xfId="1" applyNumberFormat="1" applyFont="1" applyFill="1" applyBorder="1" applyAlignment="1">
      <alignment horizontal="center" wrapText="1"/>
    </xf>
    <xf numFmtId="0" fontId="19" fillId="2" borderId="55" xfId="1" applyFont="1" applyFill="1" applyBorder="1" applyAlignment="1" applyProtection="1">
      <alignment wrapText="1"/>
      <protection locked="0"/>
    </xf>
    <xf numFmtId="0" fontId="19" fillId="0" borderId="12" xfId="1" applyFont="1" applyBorder="1" applyAlignment="1">
      <alignment horizontal="center"/>
    </xf>
    <xf numFmtId="0" fontId="19" fillId="4" borderId="28" xfId="1" applyFont="1" applyFill="1" applyBorder="1" applyAlignment="1">
      <alignment vertical="top" wrapText="1"/>
    </xf>
    <xf numFmtId="0" fontId="24" fillId="4" borderId="29" xfId="1" applyFont="1" applyFill="1" applyBorder="1" applyAlignment="1">
      <alignment vertical="top" wrapText="1"/>
    </xf>
    <xf numFmtId="0" fontId="24" fillId="4" borderId="29" xfId="1" applyFont="1" applyFill="1" applyBorder="1" applyAlignment="1">
      <alignment vertical="top"/>
    </xf>
    <xf numFmtId="0" fontId="19" fillId="4" borderId="29" xfId="1" applyFont="1" applyFill="1" applyBorder="1" applyAlignment="1">
      <alignment horizontal="center" vertical="top" wrapText="1"/>
    </xf>
    <xf numFmtId="164" fontId="19" fillId="4" borderId="29" xfId="1" applyNumberFormat="1" applyFont="1" applyFill="1" applyBorder="1" applyAlignment="1">
      <alignment horizontal="center" vertical="top" wrapText="1"/>
    </xf>
    <xf numFmtId="164" fontId="13" fillId="4" borderId="29" xfId="1" applyNumberFormat="1" applyFont="1" applyFill="1" applyBorder="1" applyAlignment="1">
      <alignment horizontal="center" vertical="top" wrapText="1"/>
    </xf>
    <xf numFmtId="0" fontId="19" fillId="0" borderId="74" xfId="1" applyFont="1" applyBorder="1" applyAlignment="1">
      <alignment horizontal="center" vertical="center"/>
    </xf>
    <xf numFmtId="0" fontId="19" fillId="0" borderId="75" xfId="1" applyFont="1" applyBorder="1" applyAlignment="1">
      <alignment horizontal="center" vertical="center"/>
    </xf>
    <xf numFmtId="164" fontId="24" fillId="0" borderId="57" xfId="1" applyNumberFormat="1" applyFont="1" applyBorder="1" applyAlignment="1">
      <alignment horizontal="center" vertical="center" wrapText="1"/>
    </xf>
    <xf numFmtId="0" fontId="19" fillId="0" borderId="76" xfId="1" applyFont="1" applyBorder="1" applyAlignment="1">
      <alignment horizontal="center" vertical="center"/>
    </xf>
    <xf numFmtId="0" fontId="19" fillId="4" borderId="29" xfId="1" applyFont="1" applyFill="1" applyBorder="1" applyAlignment="1">
      <alignment vertical="top" wrapText="1"/>
    </xf>
    <xf numFmtId="0" fontId="1" fillId="2" borderId="0" xfId="1" applyFill="1" applyAlignment="1">
      <alignment horizontal="center" vertical="top"/>
    </xf>
    <xf numFmtId="0" fontId="16" fillId="2" borderId="0" xfId="1" applyFont="1" applyFill="1" applyAlignment="1">
      <alignment horizontal="right" vertical="top"/>
    </xf>
    <xf numFmtId="0" fontId="1" fillId="2" borderId="0" xfId="1" applyFill="1" applyAlignment="1">
      <alignment horizontal="right" vertical="top"/>
    </xf>
    <xf numFmtId="164" fontId="42" fillId="2" borderId="0" xfId="1" applyNumberFormat="1" applyFont="1" applyFill="1" applyAlignment="1">
      <alignment vertical="top" shrinkToFit="1"/>
    </xf>
    <xf numFmtId="0" fontId="1" fillId="2" borderId="7" xfId="1" applyFill="1" applyBorder="1" applyAlignment="1">
      <alignment vertical="top"/>
    </xf>
    <xf numFmtId="0" fontId="1" fillId="2" borderId="7" xfId="1" applyFill="1" applyBorder="1" applyAlignment="1">
      <alignment horizontal="center" vertical="top"/>
    </xf>
    <xf numFmtId="0" fontId="6" fillId="2" borderId="0" xfId="1" applyFont="1" applyFill="1" applyAlignment="1">
      <alignment horizontal="center" vertical="top"/>
    </xf>
    <xf numFmtId="0" fontId="13" fillId="2" borderId="0" xfId="1" applyFont="1" applyFill="1" applyAlignment="1">
      <alignment vertical="top"/>
    </xf>
    <xf numFmtId="0" fontId="6" fillId="2" borderId="0" xfId="1" applyFont="1" applyFill="1" applyAlignment="1">
      <alignment vertical="top"/>
    </xf>
    <xf numFmtId="0" fontId="1" fillId="2" borderId="1" xfId="1" applyFill="1" applyBorder="1" applyAlignment="1">
      <alignment vertical="top"/>
    </xf>
    <xf numFmtId="0" fontId="1" fillId="2" borderId="2" xfId="1" applyFill="1" applyBorder="1" applyAlignment="1">
      <alignment vertical="top"/>
    </xf>
    <xf numFmtId="0" fontId="6" fillId="2" borderId="2" xfId="1" applyFont="1" applyFill="1" applyBorder="1" applyAlignment="1">
      <alignment horizontal="center" vertical="top"/>
    </xf>
    <xf numFmtId="0" fontId="13" fillId="2" borderId="2" xfId="1" applyFont="1" applyFill="1" applyBorder="1" applyAlignment="1">
      <alignment vertical="top"/>
    </xf>
    <xf numFmtId="0" fontId="1" fillId="2" borderId="3" xfId="1" applyFill="1" applyBorder="1" applyAlignment="1">
      <alignment vertical="top"/>
    </xf>
    <xf numFmtId="0" fontId="29" fillId="2" borderId="5" xfId="1" applyFont="1" applyFill="1" applyBorder="1" applyAlignment="1">
      <alignment vertical="top"/>
    </xf>
    <xf numFmtId="0" fontId="29" fillId="2" borderId="0" xfId="1" applyFont="1" applyFill="1" applyAlignment="1">
      <alignment horizontal="left" vertical="top"/>
    </xf>
    <xf numFmtId="0" fontId="29" fillId="2" borderId="0" xfId="1" applyFont="1" applyFill="1" applyAlignment="1">
      <alignment vertical="top"/>
    </xf>
    <xf numFmtId="0" fontId="44" fillId="2" borderId="0" xfId="1" applyFont="1" applyFill="1" applyAlignment="1">
      <alignment vertical="top"/>
    </xf>
    <xf numFmtId="164" fontId="24" fillId="2" borderId="0" xfId="1" applyNumberFormat="1" applyFont="1" applyFill="1" applyAlignment="1">
      <alignment horizontal="center" vertical="top" wrapText="1"/>
    </xf>
    <xf numFmtId="0" fontId="24" fillId="2" borderId="4" xfId="1" applyFont="1" applyFill="1" applyBorder="1" applyAlignment="1">
      <alignment vertical="top"/>
    </xf>
    <xf numFmtId="0" fontId="35" fillId="6" borderId="28" xfId="1" applyFont="1" applyFill="1" applyBorder="1" applyAlignment="1">
      <alignment horizontal="center" vertical="top" wrapText="1"/>
    </xf>
    <xf numFmtId="0" fontId="35" fillId="6" borderId="29" xfId="1" applyFont="1" applyFill="1" applyBorder="1" applyAlignment="1">
      <alignment horizontal="center" vertical="top" wrapText="1"/>
    </xf>
    <xf numFmtId="0" fontId="35" fillId="6" borderId="29" xfId="1" applyFont="1" applyFill="1" applyBorder="1" applyAlignment="1">
      <alignment horizontal="center" wrapText="1"/>
    </xf>
    <xf numFmtId="164" fontId="35" fillId="6" borderId="29" xfId="1" applyNumberFormat="1" applyFont="1" applyFill="1" applyBorder="1" applyAlignment="1">
      <alignment horizontal="center" wrapText="1"/>
    </xf>
    <xf numFmtId="164" fontId="35" fillId="6" borderId="29" xfId="1" applyNumberFormat="1" applyFont="1" applyFill="1" applyBorder="1" applyAlignment="1">
      <alignment horizontal="center" vertical="top" wrapText="1"/>
    </xf>
    <xf numFmtId="0" fontId="24" fillId="2" borderId="5" xfId="1" applyFont="1" applyFill="1" applyBorder="1" applyAlignment="1">
      <alignment vertical="top"/>
    </xf>
    <xf numFmtId="0" fontId="45" fillId="2" borderId="49" xfId="1" applyFont="1" applyFill="1" applyBorder="1" applyAlignment="1" applyProtection="1">
      <alignment wrapText="1"/>
      <protection locked="0"/>
    </xf>
    <xf numFmtId="0" fontId="46" fillId="0" borderId="50" xfId="1" applyFont="1" applyBorder="1" applyAlignment="1">
      <alignment horizontal="center"/>
    </xf>
    <xf numFmtId="0" fontId="19" fillId="2" borderId="51" xfId="1" applyFont="1" applyFill="1" applyBorder="1" applyAlignment="1">
      <alignment horizontal="center"/>
    </xf>
    <xf numFmtId="0" fontId="19" fillId="2" borderId="85" xfId="1" applyFont="1" applyFill="1" applyBorder="1" applyAlignment="1">
      <alignment horizontal="center"/>
    </xf>
    <xf numFmtId="0" fontId="24" fillId="4" borderId="29" xfId="1" applyFont="1" applyFill="1" applyBorder="1" applyAlignment="1">
      <alignment horizontal="left" vertical="top"/>
    </xf>
    <xf numFmtId="0" fontId="1" fillId="2" borderId="5" xfId="1" applyFill="1" applyBorder="1" applyAlignment="1">
      <alignment vertical="top"/>
    </xf>
    <xf numFmtId="0" fontId="19" fillId="0" borderId="14" xfId="1" applyFont="1" applyBorder="1" applyAlignment="1">
      <alignment horizontal="center" vertical="center"/>
    </xf>
    <xf numFmtId="0" fontId="45" fillId="2" borderId="55" xfId="1" applyFont="1" applyFill="1" applyBorder="1" applyAlignment="1" applyProtection="1">
      <alignment wrapText="1"/>
      <protection locked="0"/>
    </xf>
    <xf numFmtId="0" fontId="46" fillId="0" borderId="14" xfId="1" applyFont="1" applyBorder="1" applyAlignment="1">
      <alignment horizontal="center"/>
    </xf>
    <xf numFmtId="0" fontId="19" fillId="2" borderId="56" xfId="1" applyFont="1" applyFill="1" applyBorder="1" applyAlignment="1">
      <alignment horizontal="center"/>
    </xf>
    <xf numFmtId="164" fontId="19" fillId="10" borderId="47" xfId="1" applyNumberFormat="1" applyFont="1" applyFill="1" applyBorder="1" applyAlignment="1" applyProtection="1">
      <alignment horizontal="center" vertical="center" wrapText="1"/>
      <protection locked="0"/>
    </xf>
    <xf numFmtId="0" fontId="47" fillId="2" borderId="5" xfId="1" applyFont="1" applyFill="1" applyBorder="1" applyAlignment="1">
      <alignment horizontal="justify" wrapText="1"/>
    </xf>
    <xf numFmtId="0" fontId="19" fillId="2" borderId="0" xfId="1" applyFont="1" applyFill="1" applyAlignment="1">
      <alignment horizontal="justify" wrapText="1"/>
    </xf>
    <xf numFmtId="0" fontId="19" fillId="2" borderId="14" xfId="1" applyFont="1" applyFill="1" applyBorder="1" applyProtection="1">
      <protection locked="0"/>
    </xf>
    <xf numFmtId="0" fontId="19" fillId="2" borderId="56" xfId="1" applyFont="1" applyFill="1" applyBorder="1" applyProtection="1">
      <protection locked="0"/>
    </xf>
    <xf numFmtId="0" fontId="22" fillId="2" borderId="0" xfId="1" applyFont="1" applyFill="1" applyAlignment="1">
      <alignment horizontal="left"/>
    </xf>
    <xf numFmtId="0" fontId="19" fillId="2" borderId="54" xfId="1" applyFont="1" applyFill="1" applyBorder="1" applyProtection="1">
      <protection locked="0"/>
    </xf>
    <xf numFmtId="0" fontId="19" fillId="2" borderId="54" xfId="1" applyFont="1" applyFill="1" applyBorder="1" applyAlignment="1">
      <alignment horizontal="center"/>
    </xf>
    <xf numFmtId="0" fontId="19" fillId="0" borderId="46" xfId="1" applyFont="1" applyBorder="1" applyAlignment="1">
      <alignment vertical="top" wrapText="1"/>
    </xf>
    <xf numFmtId="0" fontId="24" fillId="10" borderId="46" xfId="1" applyFont="1" applyFill="1" applyBorder="1" applyAlignment="1">
      <alignment horizontal="center" vertical="top"/>
    </xf>
    <xf numFmtId="0" fontId="19" fillId="0" borderId="46" xfId="1" applyFont="1" applyBorder="1" applyAlignment="1">
      <alignment horizontal="center" vertical="top" wrapText="1"/>
    </xf>
    <xf numFmtId="164" fontId="24" fillId="0" borderId="46" xfId="1" applyNumberFormat="1" applyFont="1" applyBorder="1" applyAlignment="1">
      <alignment horizontal="center" vertical="top" wrapText="1"/>
    </xf>
    <xf numFmtId="0" fontId="1" fillId="0" borderId="74" xfId="1" applyBorder="1" applyAlignment="1">
      <alignment vertical="top"/>
    </xf>
    <xf numFmtId="0" fontId="6" fillId="2" borderId="51" xfId="1" applyFont="1" applyFill="1" applyBorder="1" applyAlignment="1">
      <alignment vertical="top"/>
    </xf>
    <xf numFmtId="0" fontId="19" fillId="0" borderId="47" xfId="1" applyFont="1" applyBorder="1" applyAlignment="1">
      <alignment vertical="top" wrapText="1"/>
    </xf>
    <xf numFmtId="0" fontId="24" fillId="10" borderId="47" xfId="1" applyFont="1" applyFill="1" applyBorder="1" applyAlignment="1">
      <alignment horizontal="center" vertical="top"/>
    </xf>
    <xf numFmtId="0" fontId="19" fillId="0" borderId="47" xfId="1" applyFont="1" applyBorder="1" applyAlignment="1">
      <alignment horizontal="center" vertical="top" wrapText="1"/>
    </xf>
    <xf numFmtId="164" fontId="19" fillId="10" borderId="47" xfId="1" applyNumberFormat="1" applyFont="1" applyFill="1" applyBorder="1" applyAlignment="1">
      <alignment horizontal="center" vertical="top" wrapText="1"/>
    </xf>
    <xf numFmtId="164" fontId="24" fillId="0" borderId="47" xfId="1" applyNumberFormat="1" applyFont="1" applyBorder="1" applyAlignment="1">
      <alignment horizontal="center" vertical="top" wrapText="1"/>
    </xf>
    <xf numFmtId="0" fontId="1" fillId="0" borderId="75" xfId="1" applyBorder="1" applyAlignment="1">
      <alignment vertical="top"/>
    </xf>
    <xf numFmtId="0" fontId="6" fillId="2" borderId="56" xfId="1" applyFont="1" applyFill="1" applyBorder="1" applyAlignment="1">
      <alignment vertical="top"/>
    </xf>
    <xf numFmtId="0" fontId="19" fillId="0" borderId="57" xfId="1" applyFont="1" applyBorder="1" applyAlignment="1">
      <alignment vertical="top" wrapText="1"/>
    </xf>
    <xf numFmtId="0" fontId="24" fillId="10" borderId="57" xfId="1" applyFont="1" applyFill="1" applyBorder="1" applyAlignment="1">
      <alignment horizontal="center" vertical="top"/>
    </xf>
    <xf numFmtId="0" fontId="19" fillId="0" borderId="57" xfId="1" applyFont="1" applyBorder="1" applyAlignment="1">
      <alignment horizontal="center" vertical="top" wrapText="1"/>
    </xf>
    <xf numFmtId="164" fontId="19" fillId="10" borderId="57" xfId="1" applyNumberFormat="1" applyFont="1" applyFill="1" applyBorder="1" applyAlignment="1">
      <alignment horizontal="center" vertical="top" wrapText="1"/>
    </xf>
    <xf numFmtId="164" fontId="24" fillId="0" borderId="57" xfId="2" applyNumberFormat="1" applyFont="1" applyFill="1" applyBorder="1" applyAlignment="1">
      <alignment horizontal="center" vertical="top"/>
    </xf>
    <xf numFmtId="0" fontId="19" fillId="2" borderId="0" xfId="1" applyFont="1" applyFill="1" applyAlignment="1">
      <alignment wrapText="1"/>
    </xf>
    <xf numFmtId="0" fontId="45" fillId="2" borderId="58" xfId="1" applyFont="1" applyFill="1" applyBorder="1" applyAlignment="1" applyProtection="1">
      <alignment wrapText="1"/>
      <protection locked="0"/>
    </xf>
    <xf numFmtId="0" fontId="1" fillId="0" borderId="76" xfId="1" applyBorder="1" applyAlignment="1">
      <alignment vertical="top"/>
    </xf>
    <xf numFmtId="0" fontId="6" fillId="2" borderId="60" xfId="1" applyFont="1" applyFill="1" applyBorder="1" applyAlignment="1">
      <alignment vertical="top"/>
    </xf>
    <xf numFmtId="0" fontId="1" fillId="2" borderId="6" xfId="1" applyFill="1" applyBorder="1" applyAlignment="1">
      <alignment vertical="top"/>
    </xf>
    <xf numFmtId="0" fontId="6" fillId="2" borderId="7" xfId="1" applyFont="1" applyFill="1" applyBorder="1" applyAlignment="1">
      <alignment horizontal="center" vertical="top"/>
    </xf>
    <xf numFmtId="0" fontId="13" fillId="2" borderId="7" xfId="1" applyFont="1" applyFill="1" applyBorder="1" applyAlignment="1">
      <alignment vertical="top"/>
    </xf>
    <xf numFmtId="0" fontId="32" fillId="2" borderId="7" xfId="1" applyFont="1" applyFill="1" applyBorder="1" applyAlignment="1">
      <alignment horizontal="left" vertical="top"/>
    </xf>
    <xf numFmtId="0" fontId="1" fillId="2" borderId="8" xfId="1" applyFill="1" applyBorder="1" applyAlignment="1">
      <alignment vertical="top"/>
    </xf>
    <xf numFmtId="0" fontId="24" fillId="2" borderId="87" xfId="1" applyFont="1" applyFill="1" applyBorder="1" applyAlignment="1" applyProtection="1">
      <alignment horizontal="center" vertical="top"/>
      <protection locked="0"/>
    </xf>
    <xf numFmtId="0" fontId="24" fillId="2" borderId="88" xfId="1" applyFont="1" applyFill="1" applyBorder="1" applyAlignment="1">
      <alignment horizontal="center" vertical="top" wrapText="1"/>
    </xf>
    <xf numFmtId="0" fontId="24" fillId="0" borderId="88" xfId="1" applyFont="1" applyBorder="1" applyAlignment="1">
      <alignment horizontal="center" vertical="center"/>
    </xf>
    <xf numFmtId="0" fontId="24" fillId="2" borderId="89" xfId="1" applyFont="1" applyFill="1" applyBorder="1" applyAlignment="1">
      <alignment horizontal="center" vertical="top" wrapText="1"/>
    </xf>
    <xf numFmtId="0" fontId="19" fillId="2" borderId="90" xfId="1" applyFont="1" applyFill="1" applyBorder="1" applyAlignment="1" applyProtection="1">
      <alignment horizontal="left" vertical="top"/>
      <protection locked="0"/>
    </xf>
    <xf numFmtId="0" fontId="19" fillId="2" borderId="91" xfId="1" applyFont="1" applyFill="1" applyBorder="1" applyAlignment="1">
      <alignment horizontal="center" vertical="top" wrapText="1"/>
    </xf>
    <xf numFmtId="0" fontId="19" fillId="2" borderId="92" xfId="1" applyFont="1" applyFill="1" applyBorder="1" applyAlignment="1">
      <alignment horizontal="left" vertical="top"/>
    </xf>
    <xf numFmtId="0" fontId="19" fillId="2" borderId="0" xfId="1" applyFont="1" applyFill="1" applyAlignment="1">
      <alignment vertical="center" wrapText="1"/>
    </xf>
    <xf numFmtId="0" fontId="19" fillId="2" borderId="95" xfId="1" applyFont="1" applyFill="1" applyBorder="1" applyAlignment="1" applyProtection="1">
      <alignment horizontal="left" vertical="top"/>
      <protection locked="0"/>
    </xf>
    <xf numFmtId="0" fontId="19" fillId="2" borderId="96" xfId="1" applyFont="1" applyFill="1" applyBorder="1" applyAlignment="1">
      <alignment horizontal="center" vertical="top" wrapText="1"/>
    </xf>
    <xf numFmtId="0" fontId="19" fillId="2" borderId="97" xfId="1" applyFont="1" applyFill="1" applyBorder="1" applyAlignment="1">
      <alignment horizontal="left" vertical="top"/>
    </xf>
    <xf numFmtId="49" fontId="2" fillId="2" borderId="0" xfId="1" applyNumberFormat="1" applyFont="1" applyFill="1" applyAlignment="1" applyProtection="1">
      <alignment horizontal="left" vertical="top"/>
      <protection locked="0"/>
    </xf>
    <xf numFmtId="0" fontId="19" fillId="2" borderId="0" xfId="1" applyFont="1" applyFill="1" applyAlignment="1" applyProtection="1">
      <alignment horizontal="left" vertical="top"/>
      <protection locked="0"/>
    </xf>
    <xf numFmtId="0" fontId="19" fillId="0" borderId="45" xfId="1" applyFont="1" applyBorder="1" applyAlignment="1">
      <alignment horizontal="center" vertical="center"/>
    </xf>
    <xf numFmtId="164" fontId="19" fillId="10" borderId="7" xfId="1" applyNumberFormat="1" applyFont="1" applyFill="1" applyBorder="1" applyAlignment="1">
      <alignment horizontal="center" vertical="center"/>
    </xf>
    <xf numFmtId="0" fontId="19" fillId="2" borderId="14" xfId="1" applyFont="1" applyFill="1" applyBorder="1" applyAlignment="1">
      <alignment horizontal="center" vertical="center" wrapText="1"/>
    </xf>
    <xf numFmtId="0" fontId="19" fillId="2" borderId="59" xfId="1" applyFont="1" applyFill="1" applyBorder="1" applyAlignment="1">
      <alignment horizontal="center" vertical="center" wrapText="1"/>
    </xf>
    <xf numFmtId="0" fontId="24" fillId="4" borderId="29" xfId="1" applyFont="1" applyFill="1" applyBorder="1" applyAlignment="1">
      <alignment horizontal="left" vertical="center"/>
    </xf>
    <xf numFmtId="0" fontId="19" fillId="4" borderId="29" xfId="1" applyFont="1" applyFill="1" applyBorder="1" applyAlignment="1">
      <alignment horizontal="center" vertical="center" wrapText="1"/>
    </xf>
    <xf numFmtId="164" fontId="19" fillId="4" borderId="29" xfId="1" applyNumberFormat="1" applyFont="1" applyFill="1" applyBorder="1" applyAlignment="1">
      <alignment horizontal="center" vertical="center" wrapText="1"/>
    </xf>
    <xf numFmtId="164" fontId="13" fillId="4" borderId="29" xfId="1" applyNumberFormat="1" applyFont="1" applyFill="1" applyBorder="1" applyAlignment="1">
      <alignment horizontal="center" vertical="center" wrapText="1"/>
    </xf>
    <xf numFmtId="164" fontId="49" fillId="4" borderId="29" xfId="1" applyNumberFormat="1" applyFont="1" applyFill="1" applyBorder="1" applyAlignment="1">
      <alignment horizontal="center" vertical="center" wrapText="1"/>
    </xf>
    <xf numFmtId="0" fontId="19" fillId="4" borderId="10" xfId="1" applyFont="1" applyFill="1" applyBorder="1" applyAlignment="1">
      <alignment horizontal="left" wrapText="1"/>
    </xf>
    <xf numFmtId="0" fontId="24" fillId="4" borderId="10" xfId="1" applyFont="1" applyFill="1" applyBorder="1" applyAlignment="1">
      <alignment horizontal="left"/>
    </xf>
    <xf numFmtId="0" fontId="19" fillId="4" borderId="10" xfId="1" applyFont="1" applyFill="1" applyBorder="1" applyAlignment="1">
      <alignment horizontal="center" wrapText="1"/>
    </xf>
    <xf numFmtId="164" fontId="19" fillId="4" borderId="10" xfId="1" applyNumberFormat="1" applyFont="1" applyFill="1" applyBorder="1" applyAlignment="1">
      <alignment horizontal="center" wrapText="1"/>
    </xf>
    <xf numFmtId="164" fontId="4" fillId="4" borderId="10" xfId="1" applyNumberFormat="1" applyFont="1" applyFill="1" applyBorder="1" applyAlignment="1">
      <alignment horizontal="center" wrapText="1"/>
    </xf>
    <xf numFmtId="164" fontId="4" fillId="4" borderId="0" xfId="1" applyNumberFormat="1" applyFont="1" applyFill="1" applyAlignment="1">
      <alignment horizontal="center" wrapText="1"/>
    </xf>
    <xf numFmtId="0" fontId="19" fillId="0" borderId="46" xfId="1" applyFont="1" applyBorder="1" applyAlignment="1">
      <alignment horizontal="left" vertical="center" wrapText="1"/>
    </xf>
    <xf numFmtId="0" fontId="19" fillId="0" borderId="47" xfId="1" applyFont="1" applyBorder="1" applyAlignment="1">
      <alignment horizontal="left" vertical="center" wrapText="1"/>
    </xf>
    <xf numFmtId="0" fontId="19" fillId="0" borderId="57" xfId="1" applyFont="1" applyBorder="1" applyAlignment="1">
      <alignment horizontal="left" vertical="center" wrapText="1"/>
    </xf>
    <xf numFmtId="164" fontId="13" fillId="4" borderId="24" xfId="1" applyNumberFormat="1" applyFont="1" applyFill="1" applyBorder="1" applyAlignment="1">
      <alignment horizontal="center" vertical="center" wrapText="1"/>
    </xf>
    <xf numFmtId="164" fontId="42" fillId="2" borderId="0" xfId="1" applyNumberFormat="1" applyFont="1" applyFill="1" applyAlignment="1">
      <alignment vertical="top"/>
    </xf>
    <xf numFmtId="0" fontId="6" fillId="0" borderId="0" xfId="1" applyFont="1"/>
    <xf numFmtId="164" fontId="35" fillId="6" borderId="28" xfId="1" applyNumberFormat="1" applyFont="1" applyFill="1" applyBorder="1" applyAlignment="1">
      <alignment horizontal="center" vertical="top" wrapText="1"/>
    </xf>
    <xf numFmtId="0" fontId="50" fillId="0" borderId="14" xfId="1" applyFont="1" applyBorder="1" applyAlignment="1">
      <alignment vertical="center" wrapText="1"/>
    </xf>
    <xf numFmtId="0" fontId="1" fillId="2" borderId="56" xfId="1" applyFill="1" applyBorder="1"/>
    <xf numFmtId="0" fontId="19" fillId="0" borderId="14" xfId="1" applyFont="1" applyBorder="1" applyAlignment="1">
      <alignment horizontal="center"/>
    </xf>
    <xf numFmtId="0" fontId="22" fillId="2" borderId="0" xfId="1" applyFont="1" applyFill="1"/>
    <xf numFmtId="3" fontId="22" fillId="2" borderId="0" xfId="1" applyNumberFormat="1" applyFont="1" applyFill="1"/>
    <xf numFmtId="0" fontId="24" fillId="8" borderId="45" xfId="1" applyFont="1" applyFill="1" applyBorder="1" applyAlignment="1">
      <alignment horizontal="center" vertical="top"/>
    </xf>
    <xf numFmtId="164" fontId="19" fillId="10" borderId="45" xfId="1" applyNumberFormat="1" applyFont="1" applyFill="1" applyBorder="1" applyAlignment="1">
      <alignment horizontal="center" vertical="top" wrapText="1"/>
    </xf>
    <xf numFmtId="164" fontId="24" fillId="0" borderId="45" xfId="1" applyNumberFormat="1" applyFont="1" applyBorder="1" applyAlignment="1">
      <alignment horizontal="center" vertical="center" wrapText="1"/>
    </xf>
    <xf numFmtId="164" fontId="24" fillId="0" borderId="45" xfId="1" applyNumberFormat="1" applyFont="1" applyBorder="1" applyAlignment="1">
      <alignment horizontal="center" vertical="top" wrapText="1"/>
    </xf>
    <xf numFmtId="0" fontId="1" fillId="2" borderId="54" xfId="1" applyFill="1" applyBorder="1"/>
    <xf numFmtId="0" fontId="24" fillId="8" borderId="47" xfId="1" applyFont="1" applyFill="1" applyBorder="1" applyAlignment="1">
      <alignment horizontal="center" vertical="top"/>
    </xf>
    <xf numFmtId="0" fontId="27" fillId="0" borderId="47" xfId="1" applyFont="1" applyBorder="1" applyAlignment="1">
      <alignment horizontal="left" vertical="top" wrapText="1"/>
    </xf>
    <xf numFmtId="0" fontId="1" fillId="0" borderId="75" xfId="1" applyBorder="1"/>
    <xf numFmtId="0" fontId="27" fillId="0" borderId="57" xfId="1" applyFont="1" applyBorder="1" applyAlignment="1">
      <alignment horizontal="left" vertical="top" wrapText="1"/>
    </xf>
    <xf numFmtId="0" fontId="24" fillId="8" borderId="57" xfId="1" applyFont="1" applyFill="1" applyBorder="1" applyAlignment="1">
      <alignment horizontal="center" vertical="top"/>
    </xf>
    <xf numFmtId="164" fontId="24" fillId="0" borderId="69" xfId="1" applyNumberFormat="1" applyFont="1" applyBorder="1" applyAlignment="1">
      <alignment horizontal="center" vertical="top" wrapText="1"/>
    </xf>
    <xf numFmtId="0" fontId="1" fillId="0" borderId="76" xfId="1" applyBorder="1"/>
    <xf numFmtId="0" fontId="1" fillId="2" borderId="60" xfId="1" applyFill="1" applyBorder="1"/>
    <xf numFmtId="0" fontId="33" fillId="2" borderId="0" xfId="1" applyFont="1" applyFill="1" applyAlignment="1">
      <alignment vertical="top"/>
    </xf>
    <xf numFmtId="0" fontId="29" fillId="2" borderId="24" xfId="1" applyFont="1" applyFill="1" applyBorder="1" applyAlignment="1">
      <alignment vertical="top"/>
    </xf>
    <xf numFmtId="0" fontId="1" fillId="2" borderId="24" xfId="1" applyFill="1" applyBorder="1" applyAlignment="1">
      <alignment vertical="top"/>
    </xf>
    <xf numFmtId="0" fontId="6" fillId="2" borderId="24" xfId="1" applyFont="1" applyFill="1" applyBorder="1" applyAlignment="1">
      <alignment horizontal="center" vertical="top"/>
    </xf>
    <xf numFmtId="0" fontId="51" fillId="2" borderId="0" xfId="1" applyFont="1" applyFill="1" applyAlignment="1">
      <alignment vertical="top"/>
    </xf>
    <xf numFmtId="0" fontId="52" fillId="2" borderId="0" xfId="1" applyFont="1" applyFill="1" applyAlignment="1">
      <alignment vertical="top"/>
    </xf>
    <xf numFmtId="0" fontId="53" fillId="2" borderId="0" xfId="1" applyFont="1" applyFill="1" applyProtection="1">
      <protection locked="0"/>
    </xf>
    <xf numFmtId="0" fontId="3" fillId="2" borderId="4" xfId="1" applyFont="1" applyFill="1" applyBorder="1" applyAlignment="1">
      <alignment vertical="top"/>
    </xf>
    <xf numFmtId="0" fontId="3" fillId="2" borderId="5" xfId="1" applyFont="1" applyFill="1" applyBorder="1" applyAlignment="1">
      <alignment vertical="top"/>
    </xf>
    <xf numFmtId="0" fontId="3" fillId="2" borderId="0" xfId="1" applyFont="1" applyFill="1"/>
    <xf numFmtId="0" fontId="54" fillId="2" borderId="0" xfId="1" applyFont="1" applyFill="1" applyAlignment="1">
      <alignment vertical="top"/>
    </xf>
    <xf numFmtId="0" fontId="55" fillId="2" borderId="0" xfId="1" applyFont="1" applyFill="1" applyAlignment="1">
      <alignment vertical="top"/>
    </xf>
    <xf numFmtId="164" fontId="19" fillId="2" borderId="0" xfId="1" applyNumberFormat="1" applyFont="1" applyFill="1" applyAlignment="1">
      <alignment horizontal="center" vertical="center" wrapText="1"/>
    </xf>
    <xf numFmtId="0" fontId="45" fillId="2" borderId="0" xfId="1" applyFont="1" applyFill="1" applyAlignment="1" applyProtection="1">
      <alignment wrapText="1"/>
      <protection locked="0"/>
    </xf>
    <xf numFmtId="0" fontId="19" fillId="2" borderId="0" xfId="1" applyFont="1" applyFill="1" applyProtection="1">
      <protection locked="0"/>
    </xf>
    <xf numFmtId="0" fontId="22" fillId="2" borderId="0" xfId="1" applyFont="1" applyFill="1" applyProtection="1">
      <protection locked="0"/>
    </xf>
    <xf numFmtId="0" fontId="33" fillId="2" borderId="0" xfId="1" applyFont="1" applyFill="1"/>
    <xf numFmtId="0" fontId="4" fillId="2" borderId="0" xfId="1" applyFont="1" applyFill="1" applyAlignment="1">
      <alignment horizontal="right" vertical="top"/>
    </xf>
    <xf numFmtId="49" fontId="19" fillId="2" borderId="24" xfId="1" applyNumberFormat="1" applyFont="1" applyFill="1" applyBorder="1" applyAlignment="1" applyProtection="1">
      <alignment horizontal="left" vertical="top"/>
      <protection locked="0"/>
    </xf>
    <xf numFmtId="164" fontId="19" fillId="2" borderId="24" xfId="1" applyNumberFormat="1" applyFont="1" applyFill="1" applyBorder="1" applyAlignment="1">
      <alignment horizontal="center" vertical="top" wrapText="1"/>
    </xf>
    <xf numFmtId="0" fontId="56" fillId="8" borderId="28" xfId="1" applyFont="1" applyFill="1" applyBorder="1" applyAlignment="1">
      <alignment wrapText="1"/>
    </xf>
    <xf numFmtId="164" fontId="41" fillId="8" borderId="29" xfId="1" applyNumberFormat="1" applyFont="1" applyFill="1" applyBorder="1" applyAlignment="1">
      <alignment horizontal="left"/>
    </xf>
    <xf numFmtId="0" fontId="1" fillId="8" borderId="29" xfId="1" applyFill="1" applyBorder="1"/>
    <xf numFmtId="164" fontId="41" fillId="8" borderId="29" xfId="1" applyNumberFormat="1" applyFont="1" applyFill="1" applyBorder="1"/>
    <xf numFmtId="164" fontId="41" fillId="8" borderId="29" xfId="1" applyNumberFormat="1" applyFont="1" applyFill="1" applyBorder="1" applyAlignment="1">
      <alignment wrapText="1"/>
    </xf>
    <xf numFmtId="0" fontId="23" fillId="2" borderId="0" xfId="1" applyFont="1" applyFill="1" applyAlignment="1">
      <alignment vertical="top"/>
    </xf>
    <xf numFmtId="164" fontId="24" fillId="2" borderId="48" xfId="1" applyNumberFormat="1" applyFont="1" applyFill="1" applyBorder="1" applyAlignment="1" applyProtection="1">
      <alignment horizontal="center" vertical="center" wrapText="1"/>
      <protection locked="0"/>
    </xf>
    <xf numFmtId="9" fontId="24" fillId="7" borderId="47" xfId="1" applyNumberFormat="1" applyFont="1" applyFill="1" applyBorder="1" applyAlignment="1">
      <alignment horizontal="center" vertical="center" wrapText="1"/>
    </xf>
    <xf numFmtId="164" fontId="24" fillId="0" borderId="52" xfId="1" applyNumberFormat="1" applyFont="1" applyBorder="1" applyAlignment="1">
      <alignment horizontal="center" vertical="top" wrapText="1"/>
    </xf>
    <xf numFmtId="0" fontId="19" fillId="2" borderId="98" xfId="1" applyFont="1" applyFill="1" applyBorder="1" applyAlignment="1">
      <alignment horizontal="center"/>
    </xf>
    <xf numFmtId="0" fontId="19" fillId="2" borderId="75" xfId="1" applyFont="1" applyFill="1" applyBorder="1" applyAlignment="1">
      <alignment horizontal="center"/>
    </xf>
    <xf numFmtId="0" fontId="19" fillId="2" borderId="99" xfId="1" applyFont="1" applyFill="1" applyBorder="1" applyAlignment="1">
      <alignment horizontal="center"/>
    </xf>
    <xf numFmtId="0" fontId="24" fillId="0" borderId="57" xfId="1" applyFont="1" applyBorder="1" applyAlignment="1">
      <alignment horizontal="center" vertical="center" wrapText="1"/>
    </xf>
    <xf numFmtId="9" fontId="24" fillId="7" borderId="57" xfId="1" applyNumberFormat="1" applyFont="1" applyFill="1" applyBorder="1" applyAlignment="1">
      <alignment horizontal="center" vertical="center" wrapText="1"/>
    </xf>
    <xf numFmtId="0" fontId="19" fillId="0" borderId="2" xfId="1" applyFont="1" applyBorder="1" applyAlignment="1">
      <alignment horizontal="center" vertical="center" wrapText="1"/>
    </xf>
    <xf numFmtId="164" fontId="24" fillId="0" borderId="100" xfId="1" applyNumberFormat="1" applyFont="1" applyBorder="1" applyAlignment="1">
      <alignment horizontal="center" vertical="top" wrapText="1"/>
    </xf>
    <xf numFmtId="0" fontId="19" fillId="2" borderId="101" xfId="1" applyFont="1" applyFill="1" applyBorder="1" applyAlignment="1">
      <alignment horizontal="center"/>
    </xf>
    <xf numFmtId="0" fontId="19" fillId="2" borderId="102" xfId="1" applyFont="1" applyFill="1" applyBorder="1" applyAlignment="1">
      <alignment horizontal="center"/>
    </xf>
    <xf numFmtId="0" fontId="19" fillId="2" borderId="103" xfId="1" applyFont="1" applyFill="1" applyBorder="1" applyAlignment="1">
      <alignment horizontal="center"/>
    </xf>
    <xf numFmtId="0" fontId="19" fillId="12" borderId="28" xfId="1" applyFont="1" applyFill="1" applyBorder="1" applyAlignment="1">
      <alignment vertical="top" wrapText="1"/>
    </xf>
    <xf numFmtId="0" fontId="19" fillId="12" borderId="29" xfId="1" applyFont="1" applyFill="1" applyBorder="1" applyAlignment="1">
      <alignment vertical="top"/>
    </xf>
    <xf numFmtId="0" fontId="24" fillId="12" borderId="29" xfId="1" applyFont="1" applyFill="1" applyBorder="1" applyAlignment="1">
      <alignment horizontal="left" vertical="top"/>
    </xf>
    <xf numFmtId="0" fontId="19" fillId="12" borderId="29" xfId="1" applyFont="1" applyFill="1" applyBorder="1" applyAlignment="1">
      <alignment horizontal="center" vertical="top" wrapText="1"/>
    </xf>
    <xf numFmtId="164" fontId="19" fillId="12" borderId="29" xfId="1" applyNumberFormat="1" applyFont="1" applyFill="1" applyBorder="1" applyAlignment="1">
      <alignment horizontal="center" vertical="top" wrapText="1"/>
    </xf>
    <xf numFmtId="164" fontId="13" fillId="12" borderId="29" xfId="1" applyNumberFormat="1" applyFont="1" applyFill="1" applyBorder="1" applyAlignment="1">
      <alignment horizontal="center" vertical="top" wrapText="1"/>
    </xf>
    <xf numFmtId="0" fontId="19" fillId="2" borderId="0" xfId="1" applyFont="1" applyFill="1" applyAlignment="1" applyProtection="1">
      <alignment horizontal="center" wrapText="1"/>
      <protection locked="0"/>
    </xf>
    <xf numFmtId="0" fontId="19" fillId="2" borderId="0" xfId="1" applyFont="1" applyFill="1" applyAlignment="1">
      <alignment horizontal="center"/>
    </xf>
    <xf numFmtId="164" fontId="4" fillId="2" borderId="0" xfId="1" applyNumberFormat="1" applyFont="1" applyFill="1" applyAlignment="1">
      <alignment wrapText="1"/>
    </xf>
    <xf numFmtId="0" fontId="13" fillId="4" borderId="29" xfId="1" applyFont="1" applyFill="1" applyBorder="1" applyAlignment="1">
      <alignment horizontal="left" vertical="center"/>
    </xf>
    <xf numFmtId="0" fontId="13" fillId="4" borderId="28" xfId="1" applyFont="1" applyFill="1" applyBorder="1" applyAlignment="1">
      <alignment horizontal="left" vertical="center"/>
    </xf>
    <xf numFmtId="164" fontId="13" fillId="4" borderId="119" xfId="1" applyNumberFormat="1" applyFont="1" applyFill="1" applyBorder="1" applyAlignment="1">
      <alignment horizontal="right" vertical="center"/>
    </xf>
    <xf numFmtId="164" fontId="13" fillId="4" borderId="29" xfId="1" applyNumberFormat="1" applyFont="1" applyFill="1" applyBorder="1" applyAlignment="1">
      <alignment horizontal="right" vertical="center"/>
    </xf>
    <xf numFmtId="0" fontId="13" fillId="4" borderId="44" xfId="1" applyFont="1" applyFill="1" applyBorder="1" applyAlignment="1">
      <alignment horizontal="left" vertical="center"/>
    </xf>
    <xf numFmtId="10" fontId="13" fillId="4" borderId="30" xfId="1" applyNumberFormat="1" applyFont="1" applyFill="1" applyBorder="1" applyAlignment="1">
      <alignment horizontal="right" vertical="center"/>
    </xf>
    <xf numFmtId="0" fontId="13" fillId="4" borderId="31" xfId="1" applyFont="1" applyFill="1" applyBorder="1" applyAlignment="1">
      <alignment horizontal="left" vertical="center"/>
    </xf>
    <xf numFmtId="0" fontId="13" fillId="4" borderId="24" xfId="1" applyFont="1" applyFill="1" applyBorder="1" applyAlignment="1">
      <alignment horizontal="left" vertical="center"/>
    </xf>
    <xf numFmtId="164" fontId="13" fillId="4" borderId="120" xfId="1" applyNumberFormat="1" applyFont="1" applyFill="1" applyBorder="1" applyAlignment="1">
      <alignment horizontal="right" vertical="center"/>
    </xf>
    <xf numFmtId="164" fontId="13" fillId="4" borderId="24" xfId="1" applyNumberFormat="1" applyFont="1" applyFill="1" applyBorder="1" applyAlignment="1">
      <alignment horizontal="right" vertical="center"/>
    </xf>
    <xf numFmtId="164" fontId="13" fillId="4" borderId="32" xfId="1" applyNumberFormat="1" applyFont="1" applyFill="1" applyBorder="1" applyAlignment="1">
      <alignment horizontal="right" vertical="center"/>
    </xf>
    <xf numFmtId="0" fontId="6" fillId="2" borderId="7" xfId="1" applyFont="1" applyFill="1" applyBorder="1"/>
    <xf numFmtId="0" fontId="13" fillId="2" borderId="0" xfId="1" applyFont="1" applyFill="1"/>
    <xf numFmtId="0" fontId="13" fillId="2" borderId="0" xfId="1" applyFont="1" applyFill="1" applyAlignment="1">
      <alignment horizontal="right"/>
    </xf>
    <xf numFmtId="0" fontId="0" fillId="2" borderId="0" xfId="0" applyFill="1"/>
    <xf numFmtId="0" fontId="0" fillId="2" borderId="2" xfId="0" applyFill="1" applyBorder="1"/>
    <xf numFmtId="0" fontId="0" fillId="2" borderId="3" xfId="0" applyFill="1" applyBorder="1" applyAlignment="1">
      <alignment vertical="top" wrapText="1"/>
    </xf>
    <xf numFmtId="0" fontId="0" fillId="2" borderId="5" xfId="0" applyFill="1" applyBorder="1" applyAlignment="1">
      <alignment vertical="top" wrapText="1"/>
    </xf>
    <xf numFmtId="0" fontId="0" fillId="2" borderId="8" xfId="0" applyFill="1" applyBorder="1" applyAlignment="1">
      <alignment vertical="top" wrapText="1"/>
    </xf>
    <xf numFmtId="0" fontId="0" fillId="2" borderId="7" xfId="0" applyFill="1" applyBorder="1"/>
    <xf numFmtId="164" fontId="30" fillId="2" borderId="0" xfId="0" applyNumberFormat="1" applyFont="1" applyFill="1" applyAlignment="1">
      <alignment horizontal="center"/>
    </xf>
    <xf numFmtId="164" fontId="30" fillId="2" borderId="0" xfId="0" applyNumberFormat="1" applyFont="1" applyFill="1" applyAlignment="1">
      <alignment horizontal="center" vertical="top"/>
    </xf>
    <xf numFmtId="164" fontId="4" fillId="2" borderId="0" xfId="0" applyNumberFormat="1" applyFont="1" applyFill="1" applyAlignment="1">
      <alignment horizontal="left" vertical="top"/>
    </xf>
    <xf numFmtId="164" fontId="32" fillId="2" borderId="0" xfId="0" applyNumberFormat="1" applyFont="1" applyFill="1" applyAlignment="1">
      <alignment horizontal="left" vertical="top" wrapText="1"/>
    </xf>
    <xf numFmtId="0" fontId="32" fillId="2" borderId="0" xfId="0" applyFont="1" applyFill="1" applyAlignment="1">
      <alignment horizontal="left" vertical="top"/>
    </xf>
    <xf numFmtId="49" fontId="32" fillId="2" borderId="0" xfId="0" applyNumberFormat="1" applyFont="1" applyFill="1" applyAlignment="1">
      <alignment horizontal="left" vertical="top"/>
    </xf>
    <xf numFmtId="164" fontId="32" fillId="2" borderId="0" xfId="0" applyNumberFormat="1" applyFont="1" applyFill="1" applyAlignment="1">
      <alignment horizontal="left" vertical="top"/>
    </xf>
    <xf numFmtId="0" fontId="32" fillId="2" borderId="0" xfId="0" applyFont="1" applyFill="1" applyAlignment="1">
      <alignment vertical="top"/>
    </xf>
    <xf numFmtId="0" fontId="6" fillId="2" borderId="0" xfId="0" applyFont="1" applyFill="1"/>
    <xf numFmtId="164" fontId="35" fillId="6" borderId="27" xfId="0" applyNumberFormat="1" applyFont="1" applyFill="1" applyBorder="1" applyAlignment="1">
      <alignment horizontal="center" wrapText="1"/>
    </xf>
    <xf numFmtId="0" fontId="32" fillId="0" borderId="48" xfId="0" applyFont="1" applyBorder="1" applyAlignment="1">
      <alignment horizontal="left" vertical="top" wrapText="1"/>
    </xf>
    <xf numFmtId="0" fontId="32" fillId="0" borderId="47" xfId="0" applyFont="1" applyBorder="1" applyAlignment="1">
      <alignment horizontal="left" vertical="top" wrapText="1"/>
    </xf>
    <xf numFmtId="0" fontId="32" fillId="0" borderId="52" xfId="0" applyFont="1" applyBorder="1" applyAlignment="1">
      <alignment horizontal="left" vertical="top" wrapText="1"/>
    </xf>
    <xf numFmtId="0" fontId="32" fillId="0" borderId="57" xfId="0" applyFont="1" applyBorder="1" applyAlignment="1">
      <alignment horizontal="left" vertical="top" wrapText="1"/>
    </xf>
    <xf numFmtId="0" fontId="19" fillId="4" borderId="30" xfId="0" applyFont="1" applyFill="1" applyBorder="1" applyAlignment="1">
      <alignment horizontal="left" vertical="top" wrapText="1"/>
    </xf>
    <xf numFmtId="0" fontId="32" fillId="0" borderId="46" xfId="0" applyFont="1" applyBorder="1" applyAlignment="1">
      <alignment horizontal="left" vertical="top" wrapText="1"/>
    </xf>
    <xf numFmtId="0" fontId="32" fillId="0" borderId="69" xfId="0" applyFont="1" applyBorder="1" applyAlignment="1">
      <alignment horizontal="left" vertical="top" wrapText="1"/>
    </xf>
    <xf numFmtId="0" fontId="32" fillId="0" borderId="45" xfId="0" applyFont="1" applyBorder="1" applyAlignment="1">
      <alignment horizontal="left" vertical="top" wrapText="1"/>
    </xf>
    <xf numFmtId="0" fontId="32" fillId="4" borderId="30" xfId="0" applyFont="1" applyFill="1" applyBorder="1" applyAlignment="1">
      <alignment horizontal="justify" wrapText="1"/>
    </xf>
    <xf numFmtId="0" fontId="32" fillId="0" borderId="71" xfId="0" applyFont="1" applyBorder="1" applyAlignment="1">
      <alignment horizontal="left" vertical="top" wrapText="1"/>
    </xf>
    <xf numFmtId="0" fontId="32" fillId="0" borderId="64" xfId="0" applyFont="1" applyBorder="1" applyAlignment="1">
      <alignment horizontal="left" vertical="top" wrapText="1"/>
    </xf>
    <xf numFmtId="0" fontId="32" fillId="0" borderId="13" xfId="0" applyFont="1" applyBorder="1" applyAlignment="1">
      <alignment horizontal="left" vertical="top" wrapText="1"/>
    </xf>
    <xf numFmtId="0" fontId="32" fillId="4" borderId="30" xfId="0" applyFont="1" applyFill="1" applyBorder="1" applyAlignment="1">
      <alignment horizontal="left" wrapText="1"/>
    </xf>
    <xf numFmtId="0" fontId="6" fillId="2" borderId="0" xfId="0" applyFont="1" applyFill="1" applyAlignment="1">
      <alignment horizontal="left"/>
    </xf>
    <xf numFmtId="0" fontId="6" fillId="2" borderId="7" xfId="0" applyFont="1" applyFill="1" applyBorder="1" applyAlignment="1">
      <alignment horizontal="left"/>
    </xf>
    <xf numFmtId="0" fontId="19" fillId="2" borderId="0" xfId="0" applyFont="1" applyFill="1" applyAlignment="1">
      <alignment vertical="top"/>
    </xf>
    <xf numFmtId="164" fontId="35" fillId="6" borderId="27" xfId="0" applyNumberFormat="1" applyFont="1" applyFill="1" applyBorder="1" applyAlignment="1">
      <alignment horizontal="center" vertical="top" wrapText="1"/>
    </xf>
    <xf numFmtId="0" fontId="19" fillId="4" borderId="30" xfId="0" applyFont="1" applyFill="1" applyBorder="1" applyAlignment="1">
      <alignment horizontal="left"/>
    </xf>
    <xf numFmtId="0" fontId="0" fillId="2" borderId="0" xfId="0" applyFill="1" applyAlignment="1">
      <alignment horizontal="left" vertical="top"/>
    </xf>
    <xf numFmtId="0" fontId="0" fillId="2" borderId="7" xfId="0" applyFill="1" applyBorder="1" applyAlignment="1">
      <alignment horizontal="left" vertical="top"/>
    </xf>
    <xf numFmtId="0" fontId="32" fillId="2" borderId="2" xfId="0" applyFont="1" applyFill="1" applyBorder="1" applyAlignment="1">
      <alignment vertical="top"/>
    </xf>
    <xf numFmtId="164" fontId="35" fillId="6" borderId="30" xfId="0" applyNumberFormat="1" applyFont="1" applyFill="1" applyBorder="1" applyAlignment="1">
      <alignment horizontal="center" vertical="top" wrapText="1"/>
    </xf>
    <xf numFmtId="0" fontId="32" fillId="4" borderId="30" xfId="0" applyFont="1" applyFill="1" applyBorder="1" applyAlignment="1">
      <alignment horizontal="left" vertical="top" wrapText="1"/>
    </xf>
    <xf numFmtId="0" fontId="32" fillId="2" borderId="7" xfId="0" applyFont="1" applyFill="1" applyBorder="1" applyAlignment="1">
      <alignment horizontal="left" vertical="top"/>
    </xf>
    <xf numFmtId="0" fontId="32" fillId="0" borderId="0" xfId="0" applyFont="1"/>
    <xf numFmtId="164" fontId="35" fillId="6" borderId="26" xfId="0" applyNumberFormat="1" applyFont="1" applyFill="1" applyBorder="1" applyAlignment="1">
      <alignment horizontal="center" vertical="top" wrapText="1"/>
    </xf>
    <xf numFmtId="0" fontId="32" fillId="4" borderId="26" xfId="0" applyFont="1" applyFill="1" applyBorder="1" applyAlignment="1">
      <alignment horizontal="left" wrapText="1"/>
    </xf>
    <xf numFmtId="0" fontId="32" fillId="0" borderId="46" xfId="0" applyFont="1" applyBorder="1" applyAlignment="1">
      <alignment horizontal="left" vertical="center" wrapText="1"/>
    </xf>
    <xf numFmtId="0" fontId="32" fillId="0" borderId="47" xfId="0" applyFont="1" applyBorder="1" applyAlignment="1">
      <alignment horizontal="left" vertical="center" wrapText="1"/>
    </xf>
    <xf numFmtId="0" fontId="32" fillId="0" borderId="57" xfId="0" applyFont="1" applyBorder="1" applyAlignment="1">
      <alignment horizontal="left" vertical="center" wrapText="1"/>
    </xf>
    <xf numFmtId="0" fontId="0" fillId="2" borderId="0" xfId="0" applyFill="1" applyAlignment="1">
      <alignment vertical="top"/>
    </xf>
    <xf numFmtId="0" fontId="0" fillId="2" borderId="2" xfId="0" applyFill="1" applyBorder="1" applyAlignment="1">
      <alignment vertical="top"/>
    </xf>
    <xf numFmtId="0" fontId="0" fillId="2" borderId="24" xfId="0" applyFill="1" applyBorder="1" applyAlignment="1">
      <alignment vertical="top"/>
    </xf>
    <xf numFmtId="0" fontId="3" fillId="2" borderId="0" xfId="0" applyFont="1" applyFill="1" applyAlignment="1">
      <alignment vertical="top"/>
    </xf>
    <xf numFmtId="164" fontId="41" fillId="8" borderId="30" xfId="0" applyNumberFormat="1" applyFont="1" applyFill="1" applyBorder="1" applyAlignment="1">
      <alignment horizontal="center" wrapText="1"/>
    </xf>
    <xf numFmtId="0" fontId="32" fillId="0" borderId="100" xfId="0" applyFont="1" applyBorder="1" applyAlignment="1">
      <alignment horizontal="left" vertical="top"/>
    </xf>
    <xf numFmtId="164" fontId="39" fillId="12" borderId="30" xfId="0" applyNumberFormat="1" applyFont="1" applyFill="1" applyBorder="1" applyAlignment="1">
      <alignment horizontal="left" vertical="top" wrapText="1"/>
    </xf>
    <xf numFmtId="0" fontId="0" fillId="2" borderId="7" xfId="0" applyFill="1" applyBorder="1" applyAlignment="1">
      <alignment vertical="top"/>
    </xf>
    <xf numFmtId="0" fontId="1" fillId="2" borderId="0" xfId="1" applyFill="1"/>
    <xf numFmtId="0" fontId="13" fillId="0" borderId="0" xfId="1" applyFont="1" applyAlignment="1">
      <alignment horizontal="left" vertical="center"/>
    </xf>
    <xf numFmtId="164" fontId="13" fillId="0" borderId="0" xfId="1" applyNumberFormat="1" applyFont="1" applyAlignment="1">
      <alignment horizontal="right" vertical="center"/>
    </xf>
    <xf numFmtId="0" fontId="5" fillId="2" borderId="0" xfId="1" applyFont="1" applyFill="1" applyAlignment="1">
      <alignment horizontal="left"/>
    </xf>
    <xf numFmtId="164" fontId="5" fillId="0" borderId="0" xfId="1" applyNumberFormat="1" applyFont="1" applyAlignment="1">
      <alignment horizontal="right"/>
    </xf>
    <xf numFmtId="0" fontId="4" fillId="0" borderId="0" xfId="1" applyFont="1" applyAlignment="1">
      <alignment horizontal="left" vertical="center"/>
    </xf>
    <xf numFmtId="164" fontId="4" fillId="0" borderId="0" xfId="1" applyNumberFormat="1" applyFont="1" applyAlignment="1">
      <alignment horizontal="right"/>
    </xf>
    <xf numFmtId="0" fontId="12" fillId="2" borderId="0" xfId="1" applyFont="1" applyFill="1" applyAlignment="1">
      <alignment horizontal="center"/>
    </xf>
    <xf numFmtId="0" fontId="10" fillId="0" borderId="0" xfId="1" applyFont="1" applyAlignment="1">
      <alignment horizontal="center" vertical="center"/>
    </xf>
    <xf numFmtId="0" fontId="5" fillId="2" borderId="0" xfId="3" applyNumberFormat="1" applyFont="1" applyFill="1" applyAlignment="1">
      <alignment horizontal="left"/>
    </xf>
    <xf numFmtId="0" fontId="8" fillId="2" borderId="0" xfId="4" applyFont="1" applyFill="1" applyAlignment="1" applyProtection="1">
      <alignment horizontal="left"/>
    </xf>
    <xf numFmtId="0" fontId="4" fillId="2" borderId="0" xfId="1" applyFont="1" applyFill="1" applyAlignment="1">
      <alignment horizontal="right"/>
    </xf>
    <xf numFmtId="44" fontId="5" fillId="2" borderId="0" xfId="2" applyFont="1" applyFill="1" applyAlignment="1">
      <alignment horizontal="left"/>
    </xf>
    <xf numFmtId="0" fontId="2" fillId="2" borderId="0" xfId="1" applyFont="1" applyFill="1" applyAlignment="1">
      <alignment horizontal="center" wrapText="1"/>
    </xf>
    <xf numFmtId="0" fontId="3" fillId="2" borderId="0" xfId="1" applyFont="1" applyFill="1" applyAlignment="1">
      <alignment horizontal="center" wrapText="1"/>
    </xf>
    <xf numFmtId="0" fontId="1" fillId="5" borderId="18" xfId="1" applyFill="1" applyBorder="1" applyAlignment="1" applyProtection="1">
      <alignment horizontal="left"/>
      <protection locked="0"/>
    </xf>
    <xf numFmtId="0" fontId="1" fillId="5" borderId="19" xfId="1" applyFill="1" applyBorder="1" applyAlignment="1" applyProtection="1">
      <alignment horizontal="left"/>
      <protection locked="0"/>
    </xf>
    <xf numFmtId="0" fontId="1" fillId="5" borderId="20" xfId="1" applyFill="1" applyBorder="1" applyAlignment="1" applyProtection="1">
      <alignment horizontal="left"/>
      <protection locked="0"/>
    </xf>
    <xf numFmtId="0" fontId="1" fillId="5" borderId="21" xfId="1" applyFill="1" applyBorder="1" applyAlignment="1" applyProtection="1">
      <alignment horizontal="left"/>
      <protection locked="0"/>
    </xf>
    <xf numFmtId="0" fontId="1" fillId="5" borderId="22" xfId="1" applyFill="1" applyBorder="1" applyAlignment="1" applyProtection="1">
      <alignment horizontal="left"/>
      <protection locked="0"/>
    </xf>
    <xf numFmtId="0" fontId="1" fillId="5" borderId="23" xfId="1" applyFill="1" applyBorder="1" applyAlignment="1" applyProtection="1">
      <alignment horizontal="left"/>
      <protection locked="0"/>
    </xf>
    <xf numFmtId="0" fontId="1" fillId="5" borderId="15" xfId="1" applyFill="1" applyBorder="1" applyAlignment="1" applyProtection="1">
      <alignment horizontal="left"/>
      <protection locked="0"/>
    </xf>
    <xf numFmtId="0" fontId="1" fillId="5" borderId="16" xfId="1" applyFill="1" applyBorder="1" applyAlignment="1" applyProtection="1">
      <alignment horizontal="left"/>
      <protection locked="0"/>
    </xf>
    <xf numFmtId="0" fontId="1" fillId="5" borderId="17" xfId="1" applyFill="1" applyBorder="1" applyAlignment="1" applyProtection="1">
      <alignment horizontal="left"/>
      <protection locked="0"/>
    </xf>
    <xf numFmtId="0" fontId="4" fillId="2" borderId="0" xfId="1" applyFont="1" applyFill="1" applyAlignment="1">
      <alignment horizontal="left"/>
    </xf>
    <xf numFmtId="0" fontId="1" fillId="5" borderId="11" xfId="1" applyFill="1" applyBorder="1" applyProtection="1">
      <protection locked="0"/>
    </xf>
    <xf numFmtId="0" fontId="1" fillId="5" borderId="13" xfId="1" applyFill="1" applyBorder="1" applyProtection="1">
      <protection locked="0"/>
    </xf>
    <xf numFmtId="0" fontId="4" fillId="2" borderId="0" xfId="1" applyFont="1" applyFill="1" applyAlignment="1">
      <alignment vertical="top" wrapText="1"/>
    </xf>
    <xf numFmtId="0" fontId="16" fillId="2" borderId="0" xfId="1" applyFont="1" applyFill="1" applyAlignment="1">
      <alignment horizontal="left"/>
    </xf>
    <xf numFmtId="0" fontId="1" fillId="2" borderId="10" xfId="1" applyFill="1" applyBorder="1" applyAlignment="1">
      <alignment horizontal="justify" vertical="top" wrapText="1"/>
    </xf>
    <xf numFmtId="0" fontId="1" fillId="2" borderId="0" xfId="1" applyFill="1" applyAlignment="1">
      <alignment horizontal="justify" vertical="top" wrapText="1"/>
    </xf>
    <xf numFmtId="0" fontId="1" fillId="5" borderId="18" xfId="1" applyFill="1" applyBorder="1" applyProtection="1">
      <protection locked="0"/>
    </xf>
    <xf numFmtId="0" fontId="1" fillId="5" borderId="19" xfId="1" applyFill="1" applyBorder="1" applyProtection="1">
      <protection locked="0"/>
    </xf>
    <xf numFmtId="0" fontId="1" fillId="5" borderId="20" xfId="1" applyFill="1" applyBorder="1" applyProtection="1">
      <protection locked="0"/>
    </xf>
    <xf numFmtId="0" fontId="1" fillId="5" borderId="21" xfId="1" applyFill="1" applyBorder="1" applyProtection="1">
      <protection locked="0"/>
    </xf>
    <xf numFmtId="0" fontId="1" fillId="5" borderId="22" xfId="1" applyFill="1" applyBorder="1" applyProtection="1">
      <protection locked="0"/>
    </xf>
    <xf numFmtId="0" fontId="1" fillId="5" borderId="23" xfId="1" applyFill="1" applyBorder="1" applyProtection="1">
      <protection locked="0"/>
    </xf>
    <xf numFmtId="0" fontId="13" fillId="2" borderId="0" xfId="1" applyFont="1" applyFill="1" applyAlignment="1">
      <alignment horizontal="left"/>
    </xf>
    <xf numFmtId="0" fontId="1" fillId="5" borderId="14" xfId="1" applyFill="1" applyBorder="1" applyProtection="1">
      <protection locked="0"/>
    </xf>
    <xf numFmtId="0" fontId="13" fillId="2" borderId="5" xfId="1" applyFont="1" applyFill="1" applyBorder="1" applyAlignment="1">
      <alignment horizontal="left"/>
    </xf>
    <xf numFmtId="0" fontId="1" fillId="5" borderId="12" xfId="1" applyFill="1" applyBorder="1" applyProtection="1">
      <protection locked="0"/>
    </xf>
    <xf numFmtId="0" fontId="1" fillId="5" borderId="15" xfId="1" applyFill="1" applyBorder="1" applyProtection="1">
      <protection locked="0"/>
    </xf>
    <xf numFmtId="0" fontId="1" fillId="5" borderId="16" xfId="1" applyFill="1" applyBorder="1" applyProtection="1">
      <protection locked="0"/>
    </xf>
    <xf numFmtId="0" fontId="1" fillId="5" borderId="17" xfId="1" applyFill="1" applyBorder="1" applyProtection="1">
      <protection locked="0"/>
    </xf>
    <xf numFmtId="44" fontId="0" fillId="5" borderId="14" xfId="2" applyFont="1" applyFill="1" applyBorder="1" applyAlignment="1" applyProtection="1">
      <protection locked="0"/>
    </xf>
    <xf numFmtId="165" fontId="1" fillId="5" borderId="11" xfId="1" applyNumberFormat="1" applyFill="1" applyBorder="1" applyProtection="1">
      <protection locked="0"/>
    </xf>
    <xf numFmtId="165" fontId="1" fillId="5" borderId="13" xfId="1" applyNumberFormat="1" applyFill="1" applyBorder="1" applyProtection="1">
      <protection locked="0"/>
    </xf>
    <xf numFmtId="0" fontId="1" fillId="2" borderId="10" xfId="1" applyFill="1" applyBorder="1" applyAlignment="1">
      <alignment horizontal="left"/>
    </xf>
    <xf numFmtId="0" fontId="3" fillId="2" borderId="0" xfId="1" applyFont="1" applyFill="1" applyAlignment="1">
      <alignment horizontal="center"/>
    </xf>
    <xf numFmtId="0" fontId="1" fillId="2" borderId="0" xfId="1" applyFill="1" applyAlignment="1">
      <alignment horizontal="left"/>
    </xf>
    <xf numFmtId="0" fontId="20" fillId="6" borderId="25" xfId="1" applyFont="1" applyFill="1" applyBorder="1" applyAlignment="1">
      <alignment horizontal="center" wrapText="1"/>
    </xf>
    <xf numFmtId="0" fontId="20" fillId="6" borderId="31" xfId="1" applyFont="1" applyFill="1" applyBorder="1" applyAlignment="1">
      <alignment horizontal="center" wrapText="1"/>
    </xf>
    <xf numFmtId="0" fontId="20" fillId="6" borderId="10" xfId="1" applyFont="1" applyFill="1" applyBorder="1" applyAlignment="1">
      <alignment horizontal="center" wrapText="1"/>
    </xf>
    <xf numFmtId="0" fontId="20" fillId="6" borderId="24" xfId="1" applyFont="1" applyFill="1" applyBorder="1" applyAlignment="1">
      <alignment horizontal="center" wrapText="1"/>
    </xf>
    <xf numFmtId="164" fontId="20" fillId="0" borderId="26" xfId="1" applyNumberFormat="1" applyFont="1" applyBorder="1" applyAlignment="1">
      <alignment horizontal="center" wrapText="1"/>
    </xf>
    <xf numFmtId="164" fontId="20" fillId="0" borderId="32" xfId="1" applyNumberFormat="1" applyFont="1" applyBorder="1" applyAlignment="1">
      <alignment horizontal="center" wrapText="1"/>
    </xf>
    <xf numFmtId="0" fontId="20" fillId="6" borderId="27" xfId="1" applyFont="1" applyFill="1" applyBorder="1" applyAlignment="1">
      <alignment horizontal="center" wrapText="1"/>
    </xf>
    <xf numFmtId="0" fontId="20" fillId="6" borderId="33" xfId="1" applyFont="1" applyFill="1" applyBorder="1" applyAlignment="1">
      <alignment horizontal="center" wrapText="1"/>
    </xf>
    <xf numFmtId="0" fontId="19" fillId="4" borderId="77" xfId="1" applyFont="1" applyFill="1" applyBorder="1" applyAlignment="1">
      <alignment horizontal="center" vertical="center"/>
    </xf>
    <xf numFmtId="0" fontId="19" fillId="4" borderId="78" xfId="1" applyFont="1" applyFill="1" applyBorder="1" applyAlignment="1">
      <alignment horizontal="center" vertical="center"/>
    </xf>
    <xf numFmtId="0" fontId="19" fillId="4" borderId="79" xfId="1" applyFont="1" applyFill="1" applyBorder="1" applyAlignment="1">
      <alignment horizontal="center" vertical="center"/>
    </xf>
    <xf numFmtId="0" fontId="16" fillId="2" borderId="0" xfId="1" applyFont="1" applyFill="1" applyAlignment="1">
      <alignment horizontal="right"/>
    </xf>
    <xf numFmtId="0" fontId="1" fillId="2" borderId="0" xfId="1" applyFill="1" applyAlignment="1">
      <alignment horizontal="right"/>
    </xf>
    <xf numFmtId="0" fontId="19" fillId="2" borderId="73" xfId="1" applyFont="1" applyFill="1" applyBorder="1" applyAlignment="1" applyProtection="1">
      <alignment horizontal="center" vertical="center"/>
      <protection locked="0"/>
    </xf>
    <xf numFmtId="0" fontId="19" fillId="2" borderId="54" xfId="1" applyFont="1" applyFill="1" applyBorder="1" applyAlignment="1" applyProtection="1">
      <alignment horizontal="center" vertical="center"/>
      <protection locked="0"/>
    </xf>
    <xf numFmtId="0" fontId="19" fillId="4" borderId="61" xfId="1" applyFont="1" applyFill="1" applyBorder="1" applyAlignment="1">
      <alignment horizontal="center" vertical="center"/>
    </xf>
    <xf numFmtId="0" fontId="19" fillId="4" borderId="62" xfId="1" applyFont="1" applyFill="1" applyBorder="1" applyAlignment="1">
      <alignment horizontal="center" vertical="center"/>
    </xf>
    <xf numFmtId="0" fontId="19" fillId="4" borderId="63" xfId="1" applyFont="1" applyFill="1" applyBorder="1" applyAlignment="1">
      <alignment horizontal="center" vertical="center"/>
    </xf>
    <xf numFmtId="0" fontId="24" fillId="0" borderId="27" xfId="1" applyFont="1" applyBorder="1" applyAlignment="1">
      <alignment horizontal="center" vertical="top" wrapText="1"/>
    </xf>
    <xf numFmtId="0" fontId="24" fillId="0" borderId="38" xfId="1" applyFont="1" applyBorder="1" applyAlignment="1">
      <alignment horizontal="center" vertical="top" wrapText="1"/>
    </xf>
    <xf numFmtId="0" fontId="24" fillId="0" borderId="42" xfId="1" applyFont="1" applyBorder="1" applyAlignment="1">
      <alignment horizontal="center" vertical="top"/>
    </xf>
    <xf numFmtId="0" fontId="24" fillId="0" borderId="31" xfId="1" applyFont="1" applyBorder="1" applyAlignment="1">
      <alignment horizontal="center" vertical="top"/>
    </xf>
    <xf numFmtId="164" fontId="19" fillId="0" borderId="27" xfId="1" applyNumberFormat="1" applyFont="1" applyBorder="1" applyAlignment="1">
      <alignment horizontal="center" vertical="center" wrapText="1"/>
    </xf>
    <xf numFmtId="164" fontId="19" fillId="0" borderId="38" xfId="1" applyNumberFormat="1" applyFont="1" applyBorder="1" applyAlignment="1">
      <alignment horizontal="center" vertical="center" wrapText="1"/>
    </xf>
    <xf numFmtId="164" fontId="19" fillId="0" borderId="33" xfId="1" applyNumberFormat="1" applyFont="1" applyBorder="1" applyAlignment="1">
      <alignment horizontal="center" vertical="center" wrapText="1"/>
    </xf>
    <xf numFmtId="164" fontId="24" fillId="0" borderId="69" xfId="1" applyNumberFormat="1" applyFont="1" applyBorder="1" applyAlignment="1" applyProtection="1">
      <alignment horizontal="center" vertical="center" wrapText="1"/>
      <protection locked="0"/>
    </xf>
    <xf numFmtId="164" fontId="24" fillId="0" borderId="45" xfId="1" applyNumberFormat="1" applyFont="1" applyBorder="1" applyAlignment="1" applyProtection="1">
      <alignment horizontal="center" vertical="center" wrapText="1"/>
      <protection locked="0"/>
    </xf>
    <xf numFmtId="0" fontId="32" fillId="0" borderId="69" xfId="0" applyFont="1" applyBorder="1" applyAlignment="1">
      <alignment horizontal="left" vertical="top" wrapText="1"/>
    </xf>
    <xf numFmtId="0" fontId="32" fillId="0" borderId="45" xfId="0" applyFont="1" applyBorder="1" applyAlignment="1">
      <alignment horizontal="left" vertical="top" wrapText="1"/>
    </xf>
    <xf numFmtId="0" fontId="1" fillId="2" borderId="65" xfId="1" applyFill="1" applyBorder="1" applyAlignment="1">
      <alignment horizontal="center"/>
    </xf>
    <xf numFmtId="0" fontId="1" fillId="2" borderId="43" xfId="1" applyFill="1" applyBorder="1" applyAlignment="1">
      <alignment horizontal="center"/>
    </xf>
    <xf numFmtId="0" fontId="19" fillId="2" borderId="66" xfId="1" applyFont="1" applyFill="1" applyBorder="1" applyAlignment="1" applyProtection="1">
      <alignment horizontal="center" vertical="center" wrapText="1"/>
      <protection locked="0"/>
    </xf>
    <xf numFmtId="0" fontId="19" fillId="2" borderId="53" xfId="1" applyFont="1" applyFill="1" applyBorder="1" applyAlignment="1" applyProtection="1">
      <alignment horizontal="center" vertical="center" wrapText="1"/>
      <protection locked="0"/>
    </xf>
    <xf numFmtId="0" fontId="19" fillId="0" borderId="39" xfId="1" applyFont="1" applyBorder="1" applyAlignment="1">
      <alignment horizontal="center" vertical="center" wrapText="1"/>
    </xf>
    <xf numFmtId="0" fontId="19" fillId="0" borderId="41" xfId="1" applyFont="1" applyBorder="1" applyAlignment="1">
      <alignment horizontal="center" vertical="center" wrapText="1"/>
    </xf>
    <xf numFmtId="0" fontId="19" fillId="2" borderId="56" xfId="1" applyFont="1" applyFill="1" applyBorder="1" applyAlignment="1" applyProtection="1">
      <alignment horizontal="center" vertical="center"/>
      <protection locked="0"/>
    </xf>
    <xf numFmtId="0" fontId="19" fillId="0" borderId="69" xfId="1" applyFont="1" applyBorder="1" applyAlignment="1">
      <alignment horizontal="left" vertical="top" wrapText="1"/>
    </xf>
    <xf numFmtId="0" fontId="19" fillId="0" borderId="45" xfId="1" applyFont="1" applyBorder="1" applyAlignment="1">
      <alignment horizontal="left" vertical="top" wrapText="1"/>
    </xf>
    <xf numFmtId="0" fontId="24" fillId="0" borderId="69" xfId="1" applyFont="1" applyBorder="1" applyAlignment="1" applyProtection="1">
      <alignment horizontal="center" vertical="center" wrapText="1"/>
      <protection locked="0"/>
    </xf>
    <xf numFmtId="0" fontId="24" fillId="0" borderId="45" xfId="1" applyFont="1" applyBorder="1" applyAlignment="1" applyProtection="1">
      <alignment horizontal="center" vertical="center" wrapText="1"/>
      <protection locked="0"/>
    </xf>
    <xf numFmtId="0" fontId="19" fillId="11" borderId="69" xfId="1" applyFont="1" applyFill="1" applyBorder="1" applyAlignment="1" applyProtection="1">
      <alignment horizontal="center" vertical="center" wrapText="1"/>
      <protection locked="0"/>
    </xf>
    <xf numFmtId="0" fontId="19" fillId="11" borderId="45" xfId="1" applyFont="1" applyFill="1" applyBorder="1" applyAlignment="1" applyProtection="1">
      <alignment horizontal="center" vertical="center" wrapText="1"/>
      <protection locked="0"/>
    </xf>
    <xf numFmtId="0" fontId="19" fillId="0" borderId="69" xfId="1" applyFont="1" applyBorder="1" applyAlignment="1">
      <alignment horizontal="center" vertical="center" wrapText="1"/>
    </xf>
    <xf numFmtId="0" fontId="19" fillId="0" borderId="45" xfId="1" applyFont="1" applyBorder="1" applyAlignment="1">
      <alignment horizontal="center" vertical="center" wrapText="1"/>
    </xf>
    <xf numFmtId="164" fontId="24" fillId="9" borderId="69" xfId="1" applyNumberFormat="1" applyFont="1" applyFill="1" applyBorder="1" applyAlignment="1">
      <alignment horizontal="center" vertical="center" wrapText="1"/>
    </xf>
    <xf numFmtId="164" fontId="24" fillId="9" borderId="45" xfId="1" applyNumberFormat="1" applyFont="1" applyFill="1" applyBorder="1" applyAlignment="1">
      <alignment horizontal="center" vertical="center" wrapText="1"/>
    </xf>
    <xf numFmtId="164" fontId="19" fillId="10" borderId="69" xfId="1" applyNumberFormat="1" applyFont="1" applyFill="1" applyBorder="1" applyAlignment="1">
      <alignment horizontal="center" vertical="center" wrapText="1"/>
    </xf>
    <xf numFmtId="164" fontId="19" fillId="10" borderId="45" xfId="1" applyNumberFormat="1" applyFont="1" applyFill="1" applyBorder="1" applyAlignment="1">
      <alignment horizontal="center" vertical="center" wrapText="1"/>
    </xf>
    <xf numFmtId="0" fontId="1" fillId="10" borderId="69" xfId="1" applyFill="1" applyBorder="1" applyAlignment="1">
      <alignment horizontal="center" vertical="center"/>
    </xf>
    <xf numFmtId="0" fontId="1" fillId="10" borderId="45" xfId="1" applyFill="1" applyBorder="1" applyAlignment="1">
      <alignment horizontal="center" vertical="center"/>
    </xf>
    <xf numFmtId="0" fontId="1" fillId="2" borderId="65" xfId="1" applyFill="1" applyBorder="1" applyAlignment="1">
      <alignment horizontal="center" vertical="top"/>
    </xf>
    <xf numFmtId="0" fontId="32" fillId="2" borderId="43" xfId="1" applyFont="1" applyFill="1" applyBorder="1" applyAlignment="1">
      <alignment horizontal="center" wrapText="1"/>
    </xf>
    <xf numFmtId="0" fontId="24" fillId="0" borderId="25" xfId="1" applyFont="1" applyBorder="1" applyAlignment="1">
      <alignment horizontal="center" vertical="top" wrapText="1"/>
    </xf>
    <xf numFmtId="0" fontId="24" fillId="0" borderId="42" xfId="1" applyFont="1" applyBorder="1" applyAlignment="1">
      <alignment horizontal="center" vertical="top" wrapText="1"/>
    </xf>
    <xf numFmtId="0" fontId="19" fillId="0" borderId="39" xfId="1" applyFont="1" applyBorder="1" applyAlignment="1" applyProtection="1">
      <alignment horizontal="center" vertical="center" wrapText="1"/>
      <protection locked="0"/>
    </xf>
    <xf numFmtId="0" fontId="19" fillId="0" borderId="41" xfId="1" applyFont="1" applyBorder="1" applyAlignment="1" applyProtection="1">
      <alignment horizontal="center" vertical="center" wrapText="1"/>
      <protection locked="0"/>
    </xf>
    <xf numFmtId="0" fontId="19" fillId="0" borderId="39" xfId="1" applyFont="1" applyBorder="1" applyAlignment="1" applyProtection="1">
      <alignment horizontal="center" vertical="center"/>
      <protection locked="0"/>
    </xf>
    <xf numFmtId="0" fontId="19" fillId="0" borderId="41" xfId="1" applyFont="1" applyBorder="1" applyAlignment="1" applyProtection="1">
      <alignment horizontal="center" vertical="center"/>
      <protection locked="0"/>
    </xf>
    <xf numFmtId="0" fontId="24" fillId="0" borderId="33" xfId="1" applyFont="1" applyBorder="1" applyAlignment="1">
      <alignment horizontal="center" vertical="top" wrapText="1"/>
    </xf>
    <xf numFmtId="0" fontId="24" fillId="0" borderId="31" xfId="1" applyFont="1" applyBorder="1" applyAlignment="1">
      <alignment horizontal="center" vertical="top" wrapText="1"/>
    </xf>
    <xf numFmtId="0" fontId="19" fillId="0" borderId="47" xfId="1" applyFont="1" applyBorder="1" applyAlignment="1">
      <alignment horizontal="left" vertical="top" wrapText="1"/>
    </xf>
    <xf numFmtId="0" fontId="19" fillId="0" borderId="57" xfId="1" applyFont="1" applyBorder="1" applyAlignment="1">
      <alignment horizontal="left" vertical="top" wrapText="1"/>
    </xf>
    <xf numFmtId="0" fontId="24" fillId="0" borderId="47" xfId="1" applyFont="1" applyBorder="1" applyAlignment="1" applyProtection="1">
      <alignment horizontal="center" vertical="center" wrapText="1"/>
      <protection locked="0"/>
    </xf>
    <xf numFmtId="0" fontId="24" fillId="0" borderId="57" xfId="1" applyFont="1" applyBorder="1" applyAlignment="1" applyProtection="1">
      <alignment horizontal="center" vertical="center" wrapText="1"/>
      <protection locked="0"/>
    </xf>
    <xf numFmtId="0" fontId="19" fillId="11" borderId="47" xfId="1" applyFont="1" applyFill="1" applyBorder="1" applyAlignment="1" applyProtection="1">
      <alignment horizontal="center" vertical="center" wrapText="1"/>
      <protection locked="0"/>
    </xf>
    <xf numFmtId="0" fontId="19" fillId="11" borderId="57" xfId="1" applyFont="1" applyFill="1" applyBorder="1" applyAlignment="1" applyProtection="1">
      <alignment horizontal="center" vertical="center" wrapText="1"/>
      <protection locked="0"/>
    </xf>
    <xf numFmtId="0" fontId="19" fillId="0" borderId="47" xfId="1" applyFont="1" applyBorder="1" applyAlignment="1">
      <alignment horizontal="center" vertical="center" wrapText="1"/>
    </xf>
    <xf numFmtId="0" fontId="19" fillId="0" borderId="57" xfId="1" applyFont="1" applyBorder="1" applyAlignment="1">
      <alignment horizontal="center" vertical="center" wrapText="1"/>
    </xf>
    <xf numFmtId="164" fontId="24" fillId="9" borderId="47" xfId="1" applyNumberFormat="1" applyFont="1" applyFill="1" applyBorder="1" applyAlignment="1">
      <alignment horizontal="center" vertical="center" wrapText="1"/>
    </xf>
    <xf numFmtId="164" fontId="24" fillId="9" borderId="57" xfId="1" applyNumberFormat="1" applyFont="1" applyFill="1" applyBorder="1" applyAlignment="1">
      <alignment horizontal="center" vertical="center" wrapText="1"/>
    </xf>
    <xf numFmtId="164" fontId="19" fillId="10" borderId="47" xfId="1" applyNumberFormat="1" applyFont="1" applyFill="1" applyBorder="1" applyAlignment="1">
      <alignment horizontal="center" vertical="center"/>
    </xf>
    <xf numFmtId="164" fontId="19" fillId="10" borderId="57" xfId="1" applyNumberFormat="1" applyFont="1" applyFill="1" applyBorder="1" applyAlignment="1">
      <alignment horizontal="center" vertical="center"/>
    </xf>
    <xf numFmtId="164" fontId="24" fillId="0" borderId="47" xfId="1" applyNumberFormat="1" applyFont="1" applyBorder="1" applyAlignment="1" applyProtection="1">
      <alignment horizontal="center" vertical="center" wrapText="1"/>
      <protection locked="0"/>
    </xf>
    <xf numFmtId="164" fontId="24" fillId="0" borderId="57" xfId="1" applyNumberFormat="1" applyFont="1" applyBorder="1" applyAlignment="1" applyProtection="1">
      <alignment horizontal="center" vertical="center" wrapText="1"/>
      <protection locked="0"/>
    </xf>
    <xf numFmtId="0" fontId="32" fillId="0" borderId="47" xfId="0" applyFont="1" applyBorder="1" applyAlignment="1">
      <alignment horizontal="left" vertical="top" wrapText="1"/>
    </xf>
    <xf numFmtId="0" fontId="32" fillId="0" borderId="57" xfId="0" applyFont="1" applyBorder="1" applyAlignment="1">
      <alignment horizontal="left" vertical="top" wrapText="1"/>
    </xf>
    <xf numFmtId="0" fontId="19" fillId="2" borderId="67" xfId="1" applyFont="1" applyFill="1" applyBorder="1" applyAlignment="1" applyProtection="1">
      <alignment horizontal="center" vertical="center" wrapText="1"/>
      <protection locked="0"/>
    </xf>
    <xf numFmtId="0" fontId="19" fillId="0" borderId="68" xfId="1" applyFont="1" applyBorder="1" applyAlignment="1">
      <alignment horizontal="center" vertical="center" wrapText="1"/>
    </xf>
    <xf numFmtId="0" fontId="29" fillId="2" borderId="24" xfId="1" applyFont="1" applyFill="1" applyBorder="1" applyAlignment="1">
      <alignment horizontal="left" vertical="top"/>
    </xf>
    <xf numFmtId="49" fontId="19" fillId="2" borderId="25" xfId="1" applyNumberFormat="1" applyFont="1" applyFill="1" applyBorder="1" applyAlignment="1" applyProtection="1">
      <alignment vertical="top" wrapText="1"/>
      <protection locked="0"/>
    </xf>
    <xf numFmtId="49" fontId="19" fillId="2" borderId="26" xfId="1" applyNumberFormat="1" applyFont="1" applyFill="1" applyBorder="1" applyAlignment="1" applyProtection="1">
      <alignment vertical="top" wrapText="1"/>
      <protection locked="0"/>
    </xf>
    <xf numFmtId="49" fontId="19" fillId="2" borderId="42" xfId="1" applyNumberFormat="1" applyFont="1" applyFill="1" applyBorder="1" applyAlignment="1" applyProtection="1">
      <alignment vertical="top" wrapText="1"/>
      <protection locked="0"/>
    </xf>
    <xf numFmtId="49" fontId="19" fillId="2" borderId="43" xfId="1" applyNumberFormat="1" applyFont="1" applyFill="1" applyBorder="1" applyAlignment="1" applyProtection="1">
      <alignment vertical="top" wrapText="1"/>
      <protection locked="0"/>
    </xf>
    <xf numFmtId="49" fontId="19" fillId="2" borderId="31" xfId="1" applyNumberFormat="1" applyFont="1" applyFill="1" applyBorder="1" applyAlignment="1" applyProtection="1">
      <alignment vertical="top" wrapText="1"/>
      <protection locked="0"/>
    </xf>
    <xf numFmtId="49" fontId="19" fillId="2" borderId="32" xfId="1" applyNumberFormat="1" applyFont="1" applyFill="1" applyBorder="1" applyAlignment="1" applyProtection="1">
      <alignment vertical="top" wrapText="1"/>
      <protection locked="0"/>
    </xf>
    <xf numFmtId="0" fontId="32" fillId="2" borderId="0" xfId="1" applyFont="1" applyFill="1" applyAlignment="1">
      <alignment horizontal="left" vertical="top" wrapText="1"/>
    </xf>
    <xf numFmtId="164" fontId="19" fillId="2" borderId="0" xfId="1" applyNumberFormat="1" applyFont="1" applyFill="1" applyAlignment="1">
      <alignment horizontal="left" vertical="top" readingOrder="1"/>
    </xf>
    <xf numFmtId="0" fontId="19" fillId="2" borderId="0" xfId="1" applyFont="1" applyFill="1" applyAlignment="1">
      <alignment horizontal="left" vertical="top" readingOrder="1"/>
    </xf>
    <xf numFmtId="0" fontId="19" fillId="4" borderId="65" xfId="1" applyFont="1" applyFill="1" applyBorder="1" applyAlignment="1">
      <alignment horizontal="center" vertical="center"/>
    </xf>
    <xf numFmtId="0" fontId="19" fillId="4" borderId="40" xfId="1" applyFont="1" applyFill="1" applyBorder="1" applyAlignment="1">
      <alignment horizontal="center" vertical="center"/>
    </xf>
    <xf numFmtId="0" fontId="19" fillId="4" borderId="85" xfId="1" applyFont="1" applyFill="1" applyBorder="1" applyAlignment="1">
      <alignment horizontal="center" vertical="center"/>
    </xf>
    <xf numFmtId="164" fontId="19" fillId="0" borderId="46" xfId="1" applyNumberFormat="1" applyFont="1" applyBorder="1" applyAlignment="1">
      <alignment horizontal="center" vertical="center" wrapText="1"/>
    </xf>
    <xf numFmtId="164" fontId="19" fillId="0" borderId="47" xfId="1" applyNumberFormat="1" applyFont="1" applyBorder="1" applyAlignment="1">
      <alignment horizontal="center" vertical="center" wrapText="1"/>
    </xf>
    <xf numFmtId="164" fontId="19" fillId="0" borderId="57" xfId="1" applyNumberFormat="1" applyFont="1" applyBorder="1" applyAlignment="1">
      <alignment horizontal="center" vertical="center" wrapText="1"/>
    </xf>
    <xf numFmtId="0" fontId="16" fillId="2" borderId="0" xfId="1" applyFont="1" applyFill="1" applyAlignment="1">
      <alignment horizontal="right" vertical="top"/>
    </xf>
    <xf numFmtId="0" fontId="1" fillId="2" borderId="0" xfId="1" applyFill="1" applyAlignment="1">
      <alignment horizontal="right" vertical="top"/>
    </xf>
    <xf numFmtId="0" fontId="32" fillId="0" borderId="47" xfId="0" applyFont="1" applyBorder="1" applyAlignment="1">
      <alignment horizontal="center" vertical="top" wrapText="1"/>
    </xf>
    <xf numFmtId="0" fontId="1" fillId="2" borderId="5" xfId="1" applyFill="1" applyBorder="1" applyAlignment="1">
      <alignment horizontal="center"/>
    </xf>
    <xf numFmtId="164" fontId="19" fillId="10" borderId="47" xfId="1" applyNumberFormat="1" applyFont="1" applyFill="1" applyBorder="1" applyAlignment="1">
      <alignment horizontal="center" vertical="center" wrapText="1"/>
    </xf>
    <xf numFmtId="0" fontId="32" fillId="2" borderId="43" xfId="1" applyFont="1" applyFill="1" applyBorder="1" applyAlignment="1">
      <alignment horizontal="left" vertical="top" wrapText="1"/>
    </xf>
    <xf numFmtId="0" fontId="19" fillId="2" borderId="83" xfId="1" applyFont="1" applyFill="1" applyBorder="1" applyAlignment="1">
      <alignment horizontal="left" vertical="top" wrapText="1" readingOrder="1"/>
    </xf>
    <xf numFmtId="0" fontId="19" fillId="0" borderId="84" xfId="1" applyFont="1" applyBorder="1"/>
    <xf numFmtId="0" fontId="19" fillId="0" borderId="42" xfId="1" applyFont="1" applyBorder="1"/>
    <xf numFmtId="0" fontId="19" fillId="0" borderId="43" xfId="1" applyFont="1" applyBorder="1"/>
    <xf numFmtId="0" fontId="19" fillId="0" borderId="31" xfId="1" applyFont="1" applyBorder="1"/>
    <xf numFmtId="0" fontId="19" fillId="0" borderId="32" xfId="1" applyFont="1" applyBorder="1"/>
    <xf numFmtId="0" fontId="24" fillId="0" borderId="25" xfId="1" applyFont="1" applyBorder="1" applyAlignment="1">
      <alignment horizontal="center" vertical="top"/>
    </xf>
    <xf numFmtId="0" fontId="19" fillId="0" borderId="46" xfId="1" applyFont="1" applyBorder="1" applyAlignment="1">
      <alignment horizontal="left" vertical="top" wrapText="1"/>
    </xf>
    <xf numFmtId="0" fontId="24" fillId="0" borderId="46" xfId="1" applyFont="1" applyBorder="1" applyAlignment="1" applyProtection="1">
      <alignment horizontal="center" vertical="center" wrapText="1"/>
      <protection locked="0"/>
    </xf>
    <xf numFmtId="0" fontId="19" fillId="11" borderId="46" xfId="1" applyFont="1" applyFill="1" applyBorder="1" applyAlignment="1" applyProtection="1">
      <alignment horizontal="center" vertical="center" wrapText="1"/>
      <protection locked="0"/>
    </xf>
    <xf numFmtId="0" fontId="19" fillId="0" borderId="46" xfId="1" applyFont="1" applyBorder="1" applyAlignment="1">
      <alignment horizontal="center" vertical="center" wrapText="1"/>
    </xf>
    <xf numFmtId="164" fontId="24" fillId="9" borderId="46" xfId="1" applyNumberFormat="1" applyFont="1" applyFill="1" applyBorder="1" applyAlignment="1">
      <alignment horizontal="center" vertical="center" wrapText="1"/>
    </xf>
    <xf numFmtId="164" fontId="19" fillId="10" borderId="46" xfId="1" applyNumberFormat="1" applyFont="1" applyFill="1" applyBorder="1" applyAlignment="1">
      <alignment horizontal="center" vertical="center" wrapText="1"/>
    </xf>
    <xf numFmtId="164" fontId="24" fillId="0" borderId="46" xfId="1" applyNumberFormat="1" applyFont="1" applyBorder="1" applyAlignment="1" applyProtection="1">
      <alignment horizontal="center" vertical="center" wrapText="1"/>
      <protection locked="0"/>
    </xf>
    <xf numFmtId="0" fontId="32" fillId="0" borderId="27" xfId="0" applyFont="1" applyBorder="1" applyAlignment="1">
      <alignment horizontal="left" vertical="top" wrapText="1"/>
    </xf>
    <xf numFmtId="0" fontId="0" fillId="0" borderId="45" xfId="0" applyBorder="1"/>
    <xf numFmtId="0" fontId="19" fillId="2" borderId="61" xfId="1" applyFont="1" applyFill="1" applyBorder="1" applyAlignment="1" applyProtection="1">
      <alignment horizontal="center" vertical="center" wrapText="1"/>
      <protection locked="0"/>
    </xf>
    <xf numFmtId="0" fontId="19" fillId="0" borderId="62" xfId="1" applyFont="1" applyBorder="1" applyAlignment="1">
      <alignment horizontal="center" vertical="center" wrapText="1"/>
    </xf>
    <xf numFmtId="49" fontId="19" fillId="2" borderId="25" xfId="1" applyNumberFormat="1" applyFont="1" applyFill="1" applyBorder="1" applyAlignment="1" applyProtection="1">
      <alignment horizontal="left" vertical="top" wrapText="1"/>
      <protection locked="0"/>
    </xf>
    <xf numFmtId="49" fontId="19" fillId="2" borderId="26" xfId="1" applyNumberFormat="1" applyFont="1" applyFill="1" applyBorder="1" applyAlignment="1" applyProtection="1">
      <alignment horizontal="left" vertical="top" wrapText="1"/>
      <protection locked="0"/>
    </xf>
    <xf numFmtId="49" fontId="19" fillId="2" borderId="42" xfId="1" applyNumberFormat="1" applyFont="1" applyFill="1" applyBorder="1" applyAlignment="1" applyProtection="1">
      <alignment horizontal="left" vertical="top" wrapText="1"/>
      <protection locked="0"/>
    </xf>
    <xf numFmtId="49" fontId="19" fillId="2" borderId="43" xfId="1" applyNumberFormat="1" applyFont="1" applyFill="1" applyBorder="1" applyAlignment="1" applyProtection="1">
      <alignment horizontal="left" vertical="top" wrapText="1"/>
      <protection locked="0"/>
    </xf>
    <xf numFmtId="49" fontId="19" fillId="2" borderId="31" xfId="1" applyNumberFormat="1" applyFont="1" applyFill="1" applyBorder="1" applyAlignment="1" applyProtection="1">
      <alignment horizontal="left" vertical="top" wrapText="1"/>
      <protection locked="0"/>
    </xf>
    <xf numFmtId="49" fontId="19" fillId="2" borderId="32" xfId="1" applyNumberFormat="1" applyFont="1" applyFill="1" applyBorder="1" applyAlignment="1" applyProtection="1">
      <alignment horizontal="left" vertical="top" wrapText="1"/>
      <protection locked="0"/>
    </xf>
    <xf numFmtId="164" fontId="19" fillId="2" borderId="80" xfId="1" applyNumberFormat="1" applyFont="1" applyFill="1" applyBorder="1" applyAlignment="1">
      <alignment horizontal="left" vertical="top" readingOrder="1"/>
    </xf>
    <xf numFmtId="164" fontId="19" fillId="2" borderId="81" xfId="1" applyNumberFormat="1" applyFont="1" applyFill="1" applyBorder="1" applyAlignment="1">
      <alignment horizontal="left" vertical="top" readingOrder="1"/>
    </xf>
    <xf numFmtId="0" fontId="19" fillId="2" borderId="82" xfId="1" applyFont="1" applyFill="1" applyBorder="1" applyAlignment="1">
      <alignment horizontal="left" vertical="top" readingOrder="1"/>
    </xf>
    <xf numFmtId="0" fontId="19" fillId="2" borderId="37" xfId="1" applyFont="1" applyFill="1" applyBorder="1" applyAlignment="1">
      <alignment horizontal="left" vertical="top" readingOrder="1"/>
    </xf>
    <xf numFmtId="0" fontId="24" fillId="0" borderId="65" xfId="1" applyFont="1" applyBorder="1" applyAlignment="1">
      <alignment horizontal="center" vertical="top"/>
    </xf>
    <xf numFmtId="0" fontId="24" fillId="0" borderId="67" xfId="1" applyFont="1" applyBorder="1" applyAlignment="1">
      <alignment horizontal="center" vertical="top"/>
    </xf>
    <xf numFmtId="164" fontId="19" fillId="0" borderId="46" xfId="1" applyNumberFormat="1" applyFont="1" applyBorder="1" applyAlignment="1">
      <alignment horizontal="center" vertical="top" wrapText="1"/>
    </xf>
    <xf numFmtId="164" fontId="19" fillId="0" borderId="47" xfId="1" applyNumberFormat="1" applyFont="1" applyBorder="1" applyAlignment="1">
      <alignment horizontal="center" vertical="top" wrapText="1"/>
    </xf>
    <xf numFmtId="164" fontId="19" fillId="0" borderId="57" xfId="1" applyNumberFormat="1" applyFont="1" applyBorder="1" applyAlignment="1">
      <alignment horizontal="center" vertical="top" wrapText="1"/>
    </xf>
    <xf numFmtId="0" fontId="45" fillId="2" borderId="66" xfId="1" applyFont="1" applyFill="1" applyBorder="1" applyAlignment="1" applyProtection="1">
      <alignment horizontal="center" wrapText="1"/>
      <protection locked="0"/>
    </xf>
    <xf numFmtId="0" fontId="45" fillId="2" borderId="53" xfId="1" applyFont="1" applyFill="1" applyBorder="1" applyAlignment="1" applyProtection="1">
      <alignment horizontal="center" wrapText="1"/>
      <protection locked="0"/>
    </xf>
    <xf numFmtId="0" fontId="46" fillId="0" borderId="39" xfId="1" applyFont="1" applyBorder="1" applyAlignment="1" applyProtection="1">
      <alignment horizontal="center"/>
      <protection locked="0"/>
    </xf>
    <xf numFmtId="0" fontId="46" fillId="0" borderId="41" xfId="1" applyFont="1" applyBorder="1" applyAlignment="1" applyProtection="1">
      <alignment horizontal="center"/>
      <protection locked="0"/>
    </xf>
    <xf numFmtId="0" fontId="19" fillId="2" borderId="73" xfId="1" applyFont="1" applyFill="1" applyBorder="1" applyAlignment="1" applyProtection="1">
      <alignment horizontal="center"/>
      <protection locked="0"/>
    </xf>
    <xf numFmtId="0" fontId="19" fillId="2" borderId="54" xfId="1" applyFont="1" applyFill="1" applyBorder="1" applyAlignment="1" applyProtection="1">
      <alignment horizontal="center"/>
      <protection locked="0"/>
    </xf>
    <xf numFmtId="0" fontId="32" fillId="2" borderId="65" xfId="1" applyFont="1" applyFill="1" applyBorder="1" applyAlignment="1">
      <alignment horizontal="center" wrapText="1"/>
    </xf>
    <xf numFmtId="164" fontId="4" fillId="2" borderId="43" xfId="1" applyNumberFormat="1" applyFont="1" applyFill="1" applyBorder="1" applyAlignment="1">
      <alignment horizontal="center" wrapText="1"/>
    </xf>
    <xf numFmtId="0" fontId="45" fillId="2" borderId="67" xfId="1" applyFont="1" applyFill="1" applyBorder="1" applyAlignment="1" applyProtection="1">
      <alignment horizontal="center" wrapText="1"/>
      <protection locked="0"/>
    </xf>
    <xf numFmtId="0" fontId="46" fillId="2" borderId="39" xfId="1" applyFont="1" applyFill="1" applyBorder="1" applyAlignment="1" applyProtection="1">
      <alignment horizontal="center" vertical="center" wrapText="1"/>
      <protection locked="0"/>
    </xf>
    <xf numFmtId="0" fontId="46" fillId="2" borderId="68" xfId="1" applyFont="1" applyFill="1" applyBorder="1" applyAlignment="1" applyProtection="1">
      <alignment horizontal="center" vertical="center" wrapText="1"/>
      <protection locked="0"/>
    </xf>
    <xf numFmtId="0" fontId="19" fillId="2" borderId="86" xfId="1" applyFont="1" applyFill="1" applyBorder="1" applyAlignment="1" applyProtection="1">
      <alignment horizontal="center"/>
      <protection locked="0"/>
    </xf>
    <xf numFmtId="0" fontId="19" fillId="2" borderId="85" xfId="1" applyFont="1" applyFill="1" applyBorder="1" applyAlignment="1" applyProtection="1">
      <alignment horizontal="center"/>
      <protection locked="0"/>
    </xf>
    <xf numFmtId="164" fontId="19" fillId="10" borderId="57" xfId="1" applyNumberFormat="1" applyFont="1" applyFill="1" applyBorder="1" applyAlignment="1">
      <alignment horizontal="center" vertical="center" wrapText="1"/>
    </xf>
    <xf numFmtId="0" fontId="19" fillId="2" borderId="65" xfId="1" applyFont="1" applyFill="1" applyBorder="1" applyAlignment="1">
      <alignment horizontal="center" vertical="top"/>
    </xf>
    <xf numFmtId="0" fontId="45" fillId="2" borderId="65" xfId="1" applyFont="1" applyFill="1" applyBorder="1" applyAlignment="1" applyProtection="1">
      <alignment horizontal="center" wrapText="1"/>
      <protection locked="0"/>
    </xf>
    <xf numFmtId="0" fontId="46" fillId="0" borderId="40" xfId="1" applyFont="1" applyBorder="1" applyAlignment="1" applyProtection="1">
      <alignment horizontal="center"/>
      <protection locked="0"/>
    </xf>
    <xf numFmtId="0" fontId="19" fillId="4" borderId="67" xfId="1" applyFont="1" applyFill="1" applyBorder="1" applyAlignment="1">
      <alignment horizontal="center" vertical="center"/>
    </xf>
    <xf numFmtId="0" fontId="19" fillId="4" borderId="68" xfId="1" applyFont="1" applyFill="1" applyBorder="1" applyAlignment="1">
      <alignment horizontal="center" vertical="center"/>
    </xf>
    <xf numFmtId="0" fontId="19" fillId="4" borderId="86" xfId="1" applyFont="1" applyFill="1" applyBorder="1" applyAlignment="1">
      <alignment horizontal="center" vertical="center"/>
    </xf>
    <xf numFmtId="0" fontId="19" fillId="2" borderId="55" xfId="1" applyFont="1" applyFill="1" applyBorder="1" applyAlignment="1" applyProtection="1">
      <alignment horizontal="center" vertical="center" wrapText="1"/>
      <protection locked="0"/>
    </xf>
    <xf numFmtId="0" fontId="19" fillId="0" borderId="14" xfId="1" applyFont="1" applyBorder="1" applyAlignment="1">
      <alignment horizontal="center" vertical="center" wrapText="1"/>
    </xf>
    <xf numFmtId="0" fontId="1" fillId="2" borderId="0" xfId="1" applyFill="1" applyAlignment="1">
      <alignment horizontal="center" vertical="top" wrapText="1"/>
    </xf>
    <xf numFmtId="0" fontId="1" fillId="0" borderId="42" xfId="1" applyBorder="1" applyAlignment="1">
      <alignment horizontal="center" vertical="top" wrapText="1"/>
    </xf>
    <xf numFmtId="0" fontId="24" fillId="2" borderId="88" xfId="1" applyFont="1" applyFill="1" applyBorder="1" applyAlignment="1">
      <alignment horizontal="center" vertical="top" wrapText="1"/>
    </xf>
    <xf numFmtId="0" fontId="24" fillId="0" borderId="88" xfId="1" applyFont="1" applyBorder="1" applyAlignment="1">
      <alignment horizontal="center" vertical="top" wrapText="1"/>
    </xf>
    <xf numFmtId="0" fontId="19" fillId="2" borderId="91" xfId="1" applyFont="1" applyFill="1" applyBorder="1" applyAlignment="1">
      <alignment horizontal="center" vertical="top" wrapText="1"/>
    </xf>
    <xf numFmtId="0" fontId="19" fillId="0" borderId="91" xfId="1" applyFont="1" applyBorder="1" applyAlignment="1">
      <alignment horizontal="center" vertical="top" wrapText="1"/>
    </xf>
    <xf numFmtId="0" fontId="19" fillId="0" borderId="93" xfId="1" applyFont="1" applyBorder="1" applyAlignment="1">
      <alignment horizontal="center" vertical="top" wrapText="1"/>
    </xf>
    <xf numFmtId="0" fontId="19" fillId="0" borderId="94" xfId="1" applyFont="1" applyBorder="1" applyAlignment="1">
      <alignment horizontal="center" vertical="top" wrapText="1"/>
    </xf>
    <xf numFmtId="0" fontId="19" fillId="0" borderId="96" xfId="1" applyFont="1" applyBorder="1" applyAlignment="1">
      <alignment horizontal="center" vertical="top" wrapText="1"/>
    </xf>
    <xf numFmtId="164" fontId="39" fillId="0" borderId="38" xfId="1" applyNumberFormat="1" applyFont="1" applyBorder="1" applyAlignment="1">
      <alignment horizontal="center" vertical="center" wrapText="1"/>
    </xf>
    <xf numFmtId="164" fontId="39" fillId="0" borderId="33" xfId="1" applyNumberFormat="1" applyFont="1" applyBorder="1" applyAlignment="1">
      <alignment horizontal="center" vertical="center" wrapText="1"/>
    </xf>
    <xf numFmtId="0" fontId="19" fillId="2" borderId="51" xfId="1" applyFont="1" applyFill="1" applyBorder="1" applyAlignment="1" applyProtection="1">
      <alignment horizontal="center"/>
      <protection locked="0"/>
    </xf>
    <xf numFmtId="0" fontId="19" fillId="2" borderId="56" xfId="1" applyFont="1" applyFill="1" applyBorder="1" applyAlignment="1" applyProtection="1">
      <alignment horizontal="center"/>
      <protection locked="0"/>
    </xf>
    <xf numFmtId="0" fontId="33" fillId="2" borderId="0" xfId="1" applyFont="1" applyFill="1" applyAlignment="1">
      <alignment horizontal="center"/>
    </xf>
    <xf numFmtId="164" fontId="39" fillId="0" borderId="25" xfId="1" applyNumberFormat="1" applyFont="1" applyBorder="1" applyAlignment="1">
      <alignment horizontal="center" vertical="center" wrapText="1"/>
    </xf>
    <xf numFmtId="164" fontId="39" fillId="0" borderId="26" xfId="1" applyNumberFormat="1" applyFont="1" applyBorder="1" applyAlignment="1">
      <alignment horizontal="center" vertical="center" wrapText="1"/>
    </xf>
    <xf numFmtId="164" fontId="39" fillId="0" borderId="42" xfId="1" applyNumberFormat="1" applyFont="1" applyBorder="1" applyAlignment="1">
      <alignment horizontal="center" vertical="center" wrapText="1"/>
    </xf>
    <xf numFmtId="164" fontId="39" fillId="0" borderId="43" xfId="1" applyNumberFormat="1" applyFont="1" applyBorder="1" applyAlignment="1">
      <alignment horizontal="center" vertical="center" wrapText="1"/>
    </xf>
    <xf numFmtId="164" fontId="39" fillId="0" borderId="31" xfId="1" applyNumberFormat="1" applyFont="1" applyBorder="1" applyAlignment="1">
      <alignment horizontal="center" vertical="center" wrapText="1"/>
    </xf>
    <xf numFmtId="164" fontId="39" fillId="0" borderId="32" xfId="1" applyNumberFormat="1" applyFont="1" applyBorder="1" applyAlignment="1">
      <alignment horizontal="center" vertical="center" wrapText="1"/>
    </xf>
    <xf numFmtId="164" fontId="39" fillId="12" borderId="77" xfId="1" applyNumberFormat="1" applyFont="1" applyFill="1" applyBorder="1" applyAlignment="1">
      <alignment horizontal="center" vertical="top" wrapText="1"/>
    </xf>
    <xf numFmtId="164" fontId="39" fillId="12" borderId="78" xfId="1" applyNumberFormat="1" applyFont="1" applyFill="1" applyBorder="1" applyAlignment="1">
      <alignment horizontal="center" vertical="top" wrapText="1"/>
    </xf>
    <xf numFmtId="164" fontId="39" fillId="12" borderId="79" xfId="1" applyNumberFormat="1" applyFont="1" applyFill="1" applyBorder="1" applyAlignment="1">
      <alignment horizontal="center" vertical="top" wrapText="1"/>
    </xf>
    <xf numFmtId="164" fontId="19" fillId="10" borderId="27" xfId="1" applyNumberFormat="1" applyFont="1" applyFill="1" applyBorder="1" applyAlignment="1">
      <alignment horizontal="center" vertical="center" wrapText="1"/>
    </xf>
    <xf numFmtId="164" fontId="19" fillId="10" borderId="33" xfId="1" applyNumberFormat="1" applyFont="1" applyFill="1" applyBorder="1" applyAlignment="1">
      <alignment horizontal="center" vertical="center" wrapText="1"/>
    </xf>
    <xf numFmtId="164" fontId="35" fillId="2" borderId="0" xfId="1" applyNumberFormat="1" applyFont="1" applyFill="1" applyAlignment="1">
      <alignment horizontal="center" vertical="top" wrapText="1"/>
    </xf>
    <xf numFmtId="0" fontId="19" fillId="2" borderId="49" xfId="1" applyFont="1" applyFill="1" applyBorder="1" applyAlignment="1" applyProtection="1">
      <alignment horizontal="center" wrapText="1"/>
      <protection locked="0"/>
    </xf>
    <xf numFmtId="0" fontId="19" fillId="2" borderId="55" xfId="1" applyFont="1" applyFill="1" applyBorder="1" applyAlignment="1" applyProtection="1">
      <alignment horizontal="center" wrapText="1"/>
      <protection locked="0"/>
    </xf>
    <xf numFmtId="0" fontId="19" fillId="2" borderId="50" xfId="1" applyFont="1" applyFill="1" applyBorder="1" applyAlignment="1" applyProtection="1">
      <alignment horizontal="center"/>
      <protection locked="0"/>
    </xf>
    <xf numFmtId="0" fontId="19" fillId="2" borderId="14" xfId="1" applyFont="1" applyFill="1" applyBorder="1" applyAlignment="1" applyProtection="1">
      <alignment horizontal="center"/>
      <protection locked="0"/>
    </xf>
    <xf numFmtId="9" fontId="24" fillId="9" borderId="25" xfId="1" applyNumberFormat="1" applyFont="1" applyFill="1" applyBorder="1" applyAlignment="1">
      <alignment horizontal="center" vertical="center" wrapText="1"/>
    </xf>
    <xf numFmtId="9" fontId="24" fillId="9" borderId="31" xfId="1" applyNumberFormat="1" applyFont="1" applyFill="1" applyBorder="1" applyAlignment="1">
      <alignment horizontal="center" vertical="center" wrapText="1"/>
    </xf>
    <xf numFmtId="0" fontId="19" fillId="2" borderId="27" xfId="1" applyFont="1" applyFill="1" applyBorder="1" applyAlignment="1">
      <alignment horizontal="left" vertical="top" wrapText="1"/>
    </xf>
    <xf numFmtId="0" fontId="19" fillId="2" borderId="45" xfId="1" applyFont="1" applyFill="1" applyBorder="1" applyAlignment="1">
      <alignment horizontal="left" vertical="top" wrapText="1"/>
    </xf>
    <xf numFmtId="0" fontId="24" fillId="0" borderId="27" xfId="1" applyFont="1" applyBorder="1" applyAlignment="1">
      <alignment horizontal="center" vertical="center" wrapText="1"/>
    </xf>
    <xf numFmtId="0" fontId="24" fillId="0" borderId="45" xfId="1" applyFont="1" applyBorder="1" applyAlignment="1">
      <alignment horizontal="center" vertical="center" wrapText="1"/>
    </xf>
    <xf numFmtId="1" fontId="24" fillId="9" borderId="27" xfId="1" applyNumberFormat="1" applyFont="1" applyFill="1" applyBorder="1" applyAlignment="1">
      <alignment horizontal="center" vertical="center" wrapText="1"/>
    </xf>
    <xf numFmtId="1" fontId="24" fillId="9" borderId="45" xfId="1" applyNumberFormat="1" applyFont="1" applyFill="1" applyBorder="1" applyAlignment="1">
      <alignment horizontal="center" vertical="center" wrapText="1"/>
    </xf>
    <xf numFmtId="0" fontId="19" fillId="0" borderId="27" xfId="1" applyFont="1" applyBorder="1" applyAlignment="1">
      <alignment horizontal="center" vertical="center" wrapText="1"/>
    </xf>
    <xf numFmtId="0" fontId="13" fillId="4" borderId="28" xfId="1" applyFont="1" applyFill="1" applyBorder="1" applyAlignment="1">
      <alignment horizontal="right" vertical="center"/>
    </xf>
    <xf numFmtId="0" fontId="13" fillId="4" borderId="29" xfId="1" applyFont="1" applyFill="1" applyBorder="1" applyAlignment="1">
      <alignment horizontal="right" vertical="center"/>
    </xf>
    <xf numFmtId="0" fontId="13" fillId="4" borderId="118" xfId="1" applyFont="1" applyFill="1" applyBorder="1" applyAlignment="1">
      <alignment horizontal="right" vertical="center"/>
    </xf>
    <xf numFmtId="164" fontId="13" fillId="4" borderId="119" xfId="1" applyNumberFormat="1" applyFont="1" applyFill="1" applyBorder="1" applyAlignment="1">
      <alignment horizontal="right" vertical="center"/>
    </xf>
    <xf numFmtId="164" fontId="13" fillId="4" borderId="29" xfId="1" applyNumberFormat="1" applyFont="1" applyFill="1" applyBorder="1" applyAlignment="1">
      <alignment horizontal="right" vertical="center"/>
    </xf>
    <xf numFmtId="164" fontId="13" fillId="4" borderId="30" xfId="1" applyNumberFormat="1" applyFont="1" applyFill="1" applyBorder="1" applyAlignment="1">
      <alignment horizontal="right" vertical="center"/>
    </xf>
    <xf numFmtId="0" fontId="6" fillId="2" borderId="7" xfId="1" applyFont="1" applyFill="1" applyBorder="1"/>
    <xf numFmtId="0" fontId="4" fillId="4" borderId="28" xfId="1" applyFont="1" applyFill="1" applyBorder="1" applyAlignment="1">
      <alignment horizontal="left" vertical="center"/>
    </xf>
    <xf numFmtId="0" fontId="13" fillId="4" borderId="29" xfId="1" applyFont="1" applyFill="1" applyBorder="1" applyAlignment="1">
      <alignment horizontal="left" vertical="center"/>
    </xf>
    <xf numFmtId="0" fontId="13" fillId="4" borderId="118" xfId="1" applyFont="1" applyFill="1" applyBorder="1" applyAlignment="1">
      <alignment horizontal="left" vertical="center"/>
    </xf>
    <xf numFmtId="164" fontId="4" fillId="4" borderId="119" xfId="1" applyNumberFormat="1" applyFont="1" applyFill="1" applyBorder="1" applyAlignment="1">
      <alignment horizontal="right"/>
    </xf>
    <xf numFmtId="0" fontId="1" fillId="4" borderId="29" xfId="1" applyFill="1" applyBorder="1"/>
    <xf numFmtId="0" fontId="1" fillId="4" borderId="30" xfId="1" applyFill="1" applyBorder="1"/>
    <xf numFmtId="0" fontId="5" fillId="2" borderId="70" xfId="1" applyFont="1" applyFill="1" applyBorder="1" applyAlignment="1">
      <alignment horizontal="left"/>
    </xf>
    <xf numFmtId="0" fontId="1" fillId="0" borderId="7" xfId="1" applyBorder="1" applyAlignment="1">
      <alignment horizontal="left"/>
    </xf>
    <xf numFmtId="0" fontId="1" fillId="0" borderId="8" xfId="1" applyBorder="1" applyAlignment="1">
      <alignment horizontal="left"/>
    </xf>
    <xf numFmtId="164" fontId="5" fillId="0" borderId="11" xfId="1" applyNumberFormat="1" applyFont="1" applyBorder="1" applyAlignment="1">
      <alignment horizontal="right"/>
    </xf>
    <xf numFmtId="164" fontId="1" fillId="0" borderId="12" xfId="1" applyNumberFormat="1" applyBorder="1" applyAlignment="1">
      <alignment horizontal="right"/>
    </xf>
    <xf numFmtId="164" fontId="1" fillId="0" borderId="52" xfId="1" applyNumberFormat="1" applyBorder="1" applyAlignment="1">
      <alignment horizontal="right"/>
    </xf>
    <xf numFmtId="0" fontId="13" fillId="4" borderId="28" xfId="1" applyFont="1" applyFill="1" applyBorder="1" applyAlignment="1">
      <alignment horizontal="left" vertical="center"/>
    </xf>
    <xf numFmtId="0" fontId="5" fillId="2" borderId="72" xfId="1" applyFont="1" applyFill="1" applyBorder="1" applyAlignment="1">
      <alignment horizontal="left"/>
    </xf>
    <xf numFmtId="0" fontId="1" fillId="0" borderId="12" xfId="1" applyBorder="1" applyAlignment="1">
      <alignment horizontal="left"/>
    </xf>
    <xf numFmtId="0" fontId="1" fillId="0" borderId="13" xfId="1" applyBorder="1" applyAlignment="1">
      <alignment horizontal="left"/>
    </xf>
    <xf numFmtId="0" fontId="1" fillId="0" borderId="12" xfId="1" applyBorder="1" applyAlignment="1">
      <alignment horizontal="right"/>
    </xf>
    <xf numFmtId="0" fontId="1" fillId="0" borderId="52" xfId="1" applyBorder="1" applyAlignment="1">
      <alignment horizontal="right"/>
    </xf>
    <xf numFmtId="0" fontId="5" fillId="2" borderId="12" xfId="1" applyFont="1" applyFill="1" applyBorder="1" applyAlignment="1">
      <alignment horizontal="left"/>
    </xf>
    <xf numFmtId="0" fontId="5" fillId="2" borderId="13" xfId="1" applyFont="1" applyFill="1" applyBorder="1" applyAlignment="1">
      <alignment horizontal="left"/>
    </xf>
    <xf numFmtId="164" fontId="5" fillId="0" borderId="12" xfId="1" applyNumberFormat="1" applyFont="1" applyBorder="1" applyAlignment="1">
      <alignment horizontal="right"/>
    </xf>
    <xf numFmtId="164" fontId="5" fillId="0" borderId="52" xfId="1" applyNumberFormat="1" applyFont="1" applyBorder="1" applyAlignment="1">
      <alignment horizontal="right"/>
    </xf>
    <xf numFmtId="0" fontId="5" fillId="2" borderId="115" xfId="1" applyFont="1" applyFill="1" applyBorder="1" applyAlignment="1">
      <alignment horizontal="left"/>
    </xf>
    <xf numFmtId="0" fontId="1" fillId="0" borderId="9" xfId="1" applyBorder="1" applyAlignment="1">
      <alignment horizontal="left"/>
    </xf>
    <xf numFmtId="0" fontId="1" fillId="0" borderId="116" xfId="1" applyBorder="1" applyAlignment="1">
      <alignment horizontal="left"/>
    </xf>
    <xf numFmtId="164" fontId="5" fillId="0" borderId="117" xfId="1" applyNumberFormat="1" applyFont="1" applyBorder="1" applyAlignment="1">
      <alignment horizontal="right"/>
    </xf>
    <xf numFmtId="164" fontId="5" fillId="0" borderId="9" xfId="1" applyNumberFormat="1" applyFont="1" applyBorder="1" applyAlignment="1">
      <alignment horizontal="right"/>
    </xf>
    <xf numFmtId="164" fontId="5" fillId="0" borderId="100" xfId="1" applyNumberFormat="1" applyFont="1" applyBorder="1" applyAlignment="1">
      <alignment horizontal="right"/>
    </xf>
    <xf numFmtId="0" fontId="5" fillId="2" borderId="55" xfId="1" applyFont="1" applyFill="1" applyBorder="1" applyAlignment="1">
      <alignment horizontal="left"/>
    </xf>
    <xf numFmtId="0" fontId="5" fillId="0" borderId="14" xfId="1" applyFont="1" applyBorder="1" applyAlignment="1">
      <alignment horizontal="left"/>
    </xf>
    <xf numFmtId="0" fontId="5" fillId="2" borderId="66" xfId="1" applyFont="1" applyFill="1" applyBorder="1" applyAlignment="1">
      <alignment horizontal="left"/>
    </xf>
    <xf numFmtId="0" fontId="5" fillId="0" borderId="39" xfId="1" applyFont="1" applyBorder="1" applyAlignment="1">
      <alignment horizontal="left"/>
    </xf>
    <xf numFmtId="164" fontId="5" fillId="0" borderId="1" xfId="1" applyNumberFormat="1" applyFont="1" applyBorder="1" applyAlignment="1">
      <alignment horizontal="right"/>
    </xf>
    <xf numFmtId="164" fontId="1" fillId="0" borderId="2" xfId="1" applyNumberFormat="1" applyBorder="1" applyAlignment="1">
      <alignment horizontal="right"/>
    </xf>
    <xf numFmtId="164" fontId="1" fillId="0" borderId="64" xfId="1" applyNumberFormat="1" applyBorder="1" applyAlignment="1">
      <alignment horizontal="right"/>
    </xf>
    <xf numFmtId="0" fontId="10" fillId="6" borderId="49" xfId="1" applyFont="1" applyFill="1" applyBorder="1" applyAlignment="1">
      <alignment horizontal="center" vertical="center"/>
    </xf>
    <xf numFmtId="0" fontId="11" fillId="6" borderId="50" xfId="1" applyFont="1" applyFill="1" applyBorder="1" applyAlignment="1">
      <alignment horizontal="center" vertical="center"/>
    </xf>
    <xf numFmtId="0" fontId="10" fillId="6" borderId="113" xfId="1" applyFont="1" applyFill="1" applyBorder="1" applyAlignment="1">
      <alignment horizontal="center" vertical="center"/>
    </xf>
    <xf numFmtId="0" fontId="11" fillId="6" borderId="114" xfId="1" applyFont="1" applyFill="1" applyBorder="1" applyAlignment="1">
      <alignment horizontal="center" vertical="center"/>
    </xf>
    <xf numFmtId="0" fontId="11" fillId="6" borderId="71" xfId="1" applyFont="1" applyFill="1" applyBorder="1" applyAlignment="1">
      <alignment horizontal="center" vertical="center"/>
    </xf>
    <xf numFmtId="0" fontId="5" fillId="2" borderId="11" xfId="3" applyNumberFormat="1" applyFont="1" applyFill="1" applyBorder="1" applyAlignment="1">
      <alignment horizontal="left"/>
    </xf>
    <xf numFmtId="0" fontId="1" fillId="2" borderId="13" xfId="1" applyFill="1" applyBorder="1" applyAlignment="1">
      <alignment horizontal="left"/>
    </xf>
    <xf numFmtId="0" fontId="8" fillId="2" borderId="11" xfId="4" applyNumberFormat="1" applyFont="1" applyFill="1" applyBorder="1" applyAlignment="1" applyProtection="1">
      <alignment horizontal="left"/>
    </xf>
    <xf numFmtId="0" fontId="6" fillId="2" borderId="12" xfId="1" applyFont="1" applyFill="1" applyBorder="1"/>
    <xf numFmtId="0" fontId="6" fillId="2" borderId="13" xfId="1" applyFont="1" applyFill="1" applyBorder="1"/>
    <xf numFmtId="0" fontId="5" fillId="2" borderId="11" xfId="1" applyFont="1" applyFill="1" applyBorder="1" applyAlignment="1">
      <alignment horizontal="left"/>
    </xf>
    <xf numFmtId="44" fontId="5" fillId="2" borderId="11" xfId="2" applyFont="1" applyFill="1" applyBorder="1" applyAlignment="1">
      <alignment horizontal="left"/>
    </xf>
    <xf numFmtId="44" fontId="0" fillId="2" borderId="13" xfId="2" applyFont="1" applyFill="1" applyBorder="1" applyAlignment="1">
      <alignment horizontal="left"/>
    </xf>
    <xf numFmtId="0" fontId="4" fillId="2" borderId="4" xfId="1" applyFont="1" applyFill="1" applyBorder="1" applyAlignment="1">
      <alignment horizontal="right"/>
    </xf>
    <xf numFmtId="0" fontId="1" fillId="2" borderId="5" xfId="1" applyFill="1" applyBorder="1" applyAlignment="1">
      <alignment horizontal="right"/>
    </xf>
    <xf numFmtId="165" fontId="5" fillId="2" borderId="11" xfId="3" applyNumberFormat="1" applyFont="1" applyFill="1" applyBorder="1" applyAlignment="1">
      <alignment horizontal="left"/>
    </xf>
    <xf numFmtId="165" fontId="1" fillId="2" borderId="13" xfId="1" applyNumberFormat="1" applyFill="1" applyBorder="1" applyAlignment="1">
      <alignment horizontal="left"/>
    </xf>
    <xf numFmtId="0" fontId="5" fillId="2" borderId="104" xfId="1" applyFont="1" applyFill="1" applyBorder="1" applyAlignment="1">
      <alignment horizontal="left"/>
    </xf>
    <xf numFmtId="0" fontId="5" fillId="2" borderId="105" xfId="1" applyFont="1" applyFill="1" applyBorder="1" applyAlignment="1">
      <alignment horizontal="left"/>
    </xf>
    <xf numFmtId="0" fontId="5" fillId="2" borderId="106" xfId="1" applyFont="1" applyFill="1" applyBorder="1" applyAlignment="1">
      <alignment horizontal="left"/>
    </xf>
    <xf numFmtId="0" fontId="5" fillId="2" borderId="107" xfId="1" applyFont="1" applyFill="1" applyBorder="1" applyAlignment="1">
      <alignment horizontal="left"/>
    </xf>
    <xf numFmtId="0" fontId="5" fillId="2" borderId="108" xfId="1" applyFont="1" applyFill="1" applyBorder="1" applyAlignment="1">
      <alignment horizontal="left"/>
    </xf>
    <xf numFmtId="0" fontId="5" fillId="2" borderId="109" xfId="1" applyFont="1" applyFill="1" applyBorder="1" applyAlignment="1">
      <alignment horizontal="left"/>
    </xf>
    <xf numFmtId="0" fontId="5" fillId="2" borderId="110" xfId="1" applyFont="1" applyFill="1" applyBorder="1" applyAlignment="1">
      <alignment horizontal="left"/>
    </xf>
    <xf numFmtId="0" fontId="5" fillId="2" borderId="111" xfId="1" applyFont="1" applyFill="1" applyBorder="1" applyAlignment="1">
      <alignment horizontal="left"/>
    </xf>
    <xf numFmtId="0" fontId="5" fillId="2" borderId="112" xfId="1" applyFont="1" applyFill="1" applyBorder="1" applyAlignment="1">
      <alignment horizontal="left"/>
    </xf>
  </cellXfs>
  <cellStyles count="6">
    <cellStyle name="Currency 2" xfId="2" xr:uid="{DE1BE50A-63FB-4AB0-986B-375B10FAFF02}"/>
    <cellStyle name="Currency_COLLATED TOOL_V3" xfId="3" xr:uid="{B1649E4E-6EFF-4E7C-9A3C-F6605F99DBC5}"/>
    <cellStyle name="Hyperlink" xfId="4" builtinId="8"/>
    <cellStyle name="Normal" xfId="0" builtinId="0"/>
    <cellStyle name="Normal 2" xfId="1" xr:uid="{DE9FE592-3589-448C-95EC-4976A1547E2F}"/>
    <cellStyle name="Normal 2 2" xfId="5" xr:uid="{9A8D45F5-828F-436D-8264-62361E4EB4BB}"/>
  </cellStyles>
  <dxfs count="119">
    <dxf>
      <fill>
        <patternFill>
          <bgColor indexed="44"/>
        </patternFill>
      </fill>
    </dxf>
    <dxf>
      <font>
        <condense val="0"/>
        <extend val="0"/>
        <color indexed="9"/>
      </font>
      <fill>
        <patternFill>
          <bgColor indexed="48"/>
        </patternFill>
      </fill>
    </dxf>
    <dxf>
      <fill>
        <patternFill>
          <bgColor indexed="44"/>
        </patternFill>
      </fill>
    </dxf>
    <dxf>
      <font>
        <condense val="0"/>
        <extend val="0"/>
        <color indexed="9"/>
      </font>
      <fill>
        <patternFill>
          <bgColor indexed="48"/>
        </patternFill>
      </fill>
    </dxf>
    <dxf>
      <fill>
        <patternFill>
          <bgColor indexed="42"/>
        </patternFill>
      </fill>
    </dxf>
    <dxf>
      <fill>
        <patternFill>
          <bgColor indexed="9"/>
        </patternFill>
      </fill>
    </dxf>
    <dxf>
      <fill>
        <patternFill>
          <bgColor indexed="44"/>
        </patternFill>
      </fill>
    </dxf>
    <dxf>
      <fill>
        <patternFill>
          <bgColor indexed="44"/>
        </patternFill>
      </fill>
    </dxf>
    <dxf>
      <fill>
        <patternFill>
          <bgColor indexed="44"/>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4"/>
        </patternFill>
      </fill>
    </dxf>
    <dxf>
      <fill>
        <patternFill>
          <bgColor indexed="44"/>
        </patternFill>
      </fill>
    </dxf>
    <dxf>
      <fill>
        <patternFill>
          <bgColor indexed="44"/>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4"/>
        </patternFill>
      </fill>
    </dxf>
    <dxf>
      <fill>
        <patternFill>
          <bgColor indexed="44"/>
        </patternFill>
      </fill>
    </dxf>
    <dxf>
      <fill>
        <patternFill>
          <bgColor indexed="44"/>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4"/>
        </patternFill>
      </fill>
    </dxf>
    <dxf>
      <fill>
        <patternFill>
          <bgColor indexed="44"/>
        </patternFill>
      </fill>
    </dxf>
    <dxf>
      <fill>
        <patternFill>
          <bgColor indexed="44"/>
        </patternFill>
      </fill>
    </dxf>
    <dxf>
      <fill>
        <patternFill>
          <bgColor indexed="44"/>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4"/>
        </patternFill>
      </fill>
    </dxf>
    <dxf>
      <fill>
        <patternFill>
          <bgColor indexed="44"/>
        </patternFill>
      </fill>
    </dxf>
    <dxf>
      <fill>
        <patternFill>
          <bgColor indexed="44"/>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4"/>
        </patternFill>
      </fill>
    </dxf>
    <dxf>
      <fill>
        <patternFill>
          <bgColor indexed="44"/>
        </patternFill>
      </fill>
    </dxf>
    <dxf>
      <fill>
        <patternFill>
          <bgColor indexed="44"/>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4"/>
        </patternFill>
      </fill>
    </dxf>
    <dxf>
      <fill>
        <patternFill>
          <bgColor indexed="44"/>
        </patternFill>
      </fill>
    </dxf>
    <dxf>
      <fill>
        <patternFill>
          <bgColor indexed="44"/>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ont>
        <condense val="0"/>
        <extend val="0"/>
        <color indexed="9"/>
      </font>
      <fill>
        <patternFill>
          <bgColor indexed="48"/>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ill>
        <patternFill>
          <bgColor indexed="42"/>
        </patternFill>
      </fill>
    </dxf>
    <dxf>
      <fill>
        <patternFill>
          <bgColor indexed="9"/>
        </patternFill>
      </fill>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3</xdr:row>
      <xdr:rowOff>66675</xdr:rowOff>
    </xdr:from>
    <xdr:to>
      <xdr:col>12</xdr:col>
      <xdr:colOff>0</xdr:colOff>
      <xdr:row>52</xdr:row>
      <xdr:rowOff>66675</xdr:rowOff>
    </xdr:to>
    <xdr:sp macro="" textlink="">
      <xdr:nvSpPr>
        <xdr:cNvPr id="2" name="Text Box 1">
          <a:extLst>
            <a:ext uri="{FF2B5EF4-FFF2-40B4-BE49-F238E27FC236}">
              <a16:creationId xmlns:a16="http://schemas.microsoft.com/office/drawing/2014/main" id="{509A9B72-0718-4505-868E-B718B19BEFE0}"/>
            </a:ext>
          </a:extLst>
        </xdr:cNvPr>
        <xdr:cNvSpPr txBox="1">
          <a:spLocks noChangeArrowheads="1"/>
        </xdr:cNvSpPr>
      </xdr:nvSpPr>
      <xdr:spPr bwMode="auto">
        <a:xfrm>
          <a:off x="447675" y="676275"/>
          <a:ext cx="5972175" cy="80295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0" bIns="0" anchor="t" upright="1"/>
        <a:lstStyle/>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1. The calculator is copyright and a Licensee or Operator may only use the rehabilitation liability calculator (‘the calculator’) subject to the terms and conditions of use. In using the calculator, a Licensee or Operator agree to be bound by the terms and conditions of use.</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2. The calculator is a general tool which identifies a range of work processes relating to rehabilitation. The calculator is made available by the Licensor to assist the Operator in the calculation of a rehabilitation liability assessment. Rehabilitation liability assessments are used in the determination of rehabilitation bonds required to be lodged pursuant to the </a:t>
          </a:r>
          <a:r>
            <a:rPr lang="en-AU" sz="1000" b="0" i="1" u="none" strike="noStrike" baseline="0">
              <a:solidFill>
                <a:srgbClr val="000000"/>
              </a:solidFill>
              <a:latin typeface="Arial"/>
              <a:cs typeface="Arial"/>
            </a:rPr>
            <a:t>Mineral Resources (Sustainable Development) Act 1990</a:t>
          </a:r>
          <a:r>
            <a:rPr lang="en-AU" sz="1000" b="0" i="0" u="none" strike="noStrike" baseline="0">
              <a:solidFill>
                <a:srgbClr val="000000"/>
              </a:solidFill>
              <a:latin typeface="Arial"/>
              <a:cs typeface="Arial"/>
            </a:rPr>
            <a:t> (Vic.) and the </a:t>
          </a:r>
          <a:r>
            <a:rPr lang="en-AU" sz="1000" b="0" i="1" u="none" strike="noStrike" baseline="0">
              <a:solidFill>
                <a:srgbClr val="000000"/>
              </a:solidFill>
              <a:latin typeface="Arial"/>
              <a:cs typeface="Arial"/>
            </a:rPr>
            <a:t>Extractive Industries Development Act 1995</a:t>
          </a:r>
          <a:r>
            <a:rPr lang="en-AU" sz="1000" b="0" i="0" u="none" strike="noStrike" baseline="0">
              <a:solidFill>
                <a:srgbClr val="000000"/>
              </a:solidFill>
              <a:latin typeface="Arial"/>
              <a:cs typeface="Arial"/>
            </a:rPr>
            <a:t> (Vic.). The calculator does not purport to contain all the information which the Operator will require to calculate any rehabilitation liability.</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General Licence</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3. The Licensor grants to the Licensee a non-exclusive, non-transferable licence to:</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3.1 load a single copy of the calculator onto a hard disk or other storage device of a single computer; and</a:t>
          </a:r>
        </a:p>
        <a:p>
          <a:pPr algn="l" rtl="0">
            <a:defRPr sz="1000"/>
          </a:pPr>
          <a:r>
            <a:rPr lang="en-AU" sz="1000" b="0" i="0" u="none" strike="noStrike" baseline="0">
              <a:solidFill>
                <a:srgbClr val="000000"/>
              </a:solidFill>
              <a:latin typeface="Arial"/>
              <a:cs typeface="Arial"/>
            </a:rPr>
            <a:t>3.2 display, print or reproduce that copy of the calculator for personal use.</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Licence to Operators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4. The Licensor grants to the Operator a non-exclusive, non-transferable licence to:</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4.1 load a single copy of the calculator onto a hard disk or other storage device of any computer on a single network;</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4.2 display, print or reproduce that copy of the calculator; and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4.3 solely for the permitted use:</a:t>
          </a:r>
        </a:p>
        <a:p>
          <a:pPr algn="l" rtl="0">
            <a:defRPr sz="1000"/>
          </a:pPr>
          <a:r>
            <a:rPr lang="en-AU" sz="1000" b="0" i="0" u="none" strike="noStrike" baseline="0">
              <a:solidFill>
                <a:srgbClr val="000000"/>
              </a:solidFill>
              <a:latin typeface="Arial"/>
              <a:cs typeface="Arial"/>
            </a:rPr>
            <a:t>(a) develop any Derivative Work from the calculator</a:t>
          </a:r>
        </a:p>
        <a:p>
          <a:pPr algn="l" rtl="0">
            <a:defRPr sz="1000"/>
          </a:pPr>
          <a:r>
            <a:rPr lang="en-AU" sz="1000" b="0" i="0" u="none" strike="noStrike" baseline="0">
              <a:solidFill>
                <a:srgbClr val="000000"/>
              </a:solidFill>
              <a:latin typeface="Arial"/>
              <a:cs typeface="Arial"/>
            </a:rPr>
            <a:t>(b) distribute any Derivative Work to third parties; and</a:t>
          </a:r>
        </a:p>
        <a:p>
          <a:pPr algn="l" rtl="0">
            <a:defRPr sz="1000"/>
          </a:pPr>
          <a:r>
            <a:rPr lang="en-AU" sz="1000" b="0" i="0" u="none" strike="noStrike" baseline="0">
              <a:solidFill>
                <a:srgbClr val="000000"/>
              </a:solidFill>
              <a:latin typeface="Arial"/>
              <a:cs typeface="Arial"/>
            </a:rPr>
            <a:t>(c) authorise its consultants, contractors or sub-contractors to do the acts referred to in this paragraph 4.3.</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Derivative work</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5. Where the Operator uses the calculator as permitted under this Licence to produce any Derivative Work, the Operator must ensure that all copies of that Derivative Work include the following notice:</a:t>
          </a:r>
        </a:p>
        <a:p>
          <a:pPr algn="l" rtl="0">
            <a:defRPr sz="1000"/>
          </a:pPr>
          <a:endParaRPr lang="en-AU" sz="1000" b="0" i="0" u="none" strike="noStrike" baseline="0">
            <a:solidFill>
              <a:srgbClr val="000000"/>
            </a:solidFill>
            <a:latin typeface="Arial"/>
            <a:cs typeface="Arial"/>
          </a:endParaRPr>
        </a:p>
        <a:p>
          <a:pPr algn="l" rtl="0">
            <a:defRPr sz="1000"/>
          </a:pPr>
          <a:r>
            <a:rPr lang="en-AU" sz="1000" b="0" i="1" u="none" strike="noStrike" baseline="0">
              <a:solidFill>
                <a:srgbClr val="000000"/>
              </a:solidFill>
              <a:latin typeface="Arial"/>
              <a:cs typeface="Arial"/>
            </a:rPr>
            <a:t>This material has been derived with a software tool used with the permission of the State of Victoria, URS Australia Pty Ltd and Windaf Pty Ltd trading as GSS Environmental. The State of Victoria has not evaluated the manner of use of the software tool nor the validity of the original data treated by the software tool and therefore gives no warranty as to its accuracy, completeness, currency or suitability for any particular purpose.</a:t>
          </a:r>
          <a:r>
            <a:rPr lang="en-AU" sz="1000" b="0" i="0" u="none" strike="noStrike" baseline="0">
              <a:solidFill>
                <a:srgbClr val="000000"/>
              </a:solidFill>
              <a:latin typeface="Arial"/>
              <a:cs typeface="Arial"/>
            </a:rPr>
            <a:t> </a:t>
          </a:r>
          <a:endParaRPr lang="en-AU" sz="1050" b="0" i="0" u="none" strike="noStrike" baseline="0">
            <a:solidFill>
              <a:srgbClr val="000000"/>
            </a:solidFill>
            <a:latin typeface="Arial"/>
            <a:cs typeface="Arial"/>
          </a:endParaRPr>
        </a:p>
        <a:p>
          <a:pPr algn="l" rtl="0">
            <a:defRPr sz="1000"/>
          </a:pPr>
          <a:endParaRPr lang="en-AU" sz="1050" b="0" i="0" u="none" strike="noStrike" baseline="0">
            <a:solidFill>
              <a:srgbClr val="000000"/>
            </a:solidFill>
            <a:latin typeface="Arial"/>
            <a:cs typeface="Arial"/>
          </a:endParaRPr>
        </a:p>
        <a:p>
          <a:pPr algn="l" rtl="0">
            <a:defRPr sz="1000"/>
          </a:pPr>
          <a:endParaRPr lang="en-AU" sz="1050" b="0" i="0" u="none" strike="noStrike" baseline="0">
            <a:solidFill>
              <a:srgbClr val="000000"/>
            </a:solidFill>
            <a:latin typeface="Arial"/>
            <a:cs typeface="Arial"/>
          </a:endParaRPr>
        </a:p>
      </xdr:txBody>
    </xdr:sp>
    <xdr:clientData/>
  </xdr:twoCellAnchor>
  <xdr:twoCellAnchor>
    <xdr:from>
      <xdr:col>2</xdr:col>
      <xdr:colOff>66675</xdr:colOff>
      <xdr:row>4</xdr:row>
      <xdr:rowOff>95250</xdr:rowOff>
    </xdr:from>
    <xdr:to>
      <xdr:col>12</xdr:col>
      <xdr:colOff>0</xdr:colOff>
      <xdr:row>51</xdr:row>
      <xdr:rowOff>123825</xdr:rowOff>
    </xdr:to>
    <xdr:sp macro="" textlink="">
      <xdr:nvSpPr>
        <xdr:cNvPr id="3" name="Text Box 3">
          <a:extLst>
            <a:ext uri="{FF2B5EF4-FFF2-40B4-BE49-F238E27FC236}">
              <a16:creationId xmlns:a16="http://schemas.microsoft.com/office/drawing/2014/main" id="{610B2A63-F961-4FDB-B611-44436CAA8833}"/>
            </a:ext>
          </a:extLst>
        </xdr:cNvPr>
        <xdr:cNvSpPr txBox="1">
          <a:spLocks noChangeArrowheads="1"/>
        </xdr:cNvSpPr>
      </xdr:nvSpPr>
      <xdr:spPr bwMode="auto">
        <a:xfrm>
          <a:off x="390525" y="866775"/>
          <a:ext cx="6029325" cy="77343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0" bIns="0" anchor="t" upright="1"/>
        <a:lstStyle/>
        <a:p>
          <a:endParaRPr lang="en-AU" sz="1100" b="1">
            <a:effectLst/>
            <a:latin typeface="Arial" panose="020B0604020202020204" pitchFamily="34" charset="0"/>
            <a:ea typeface="+mn-ea"/>
            <a:cs typeface="Arial" panose="020B0604020202020204" pitchFamily="34" charset="0"/>
          </a:endParaRPr>
        </a:p>
        <a:p>
          <a:endParaRPr lang="en-AU" sz="1100" b="1">
            <a:effectLst/>
            <a:latin typeface="Arial" panose="020B0604020202020204" pitchFamily="34" charset="0"/>
            <a:ea typeface="+mn-ea"/>
            <a:cs typeface="Arial" panose="020B0604020202020204" pitchFamily="34" charset="0"/>
          </a:endParaRPr>
        </a:p>
        <a:p>
          <a:endParaRPr lang="en-AU" sz="1100" b="1">
            <a:effectLst/>
            <a:latin typeface="Arial" panose="020B0604020202020204" pitchFamily="34" charset="0"/>
            <a:ea typeface="+mn-ea"/>
            <a:cs typeface="Arial" panose="020B0604020202020204" pitchFamily="34" charset="0"/>
          </a:endParaRPr>
        </a:p>
        <a:p>
          <a:r>
            <a:rPr lang="en-AU" sz="1600" b="1">
              <a:effectLst/>
              <a:latin typeface="Arial" panose="020B0604020202020204" pitchFamily="34" charset="0"/>
              <a:ea typeface="+mn-ea"/>
              <a:cs typeface="Arial" panose="020B0604020202020204" pitchFamily="34" charset="0"/>
            </a:rPr>
            <a:t>Rehabilitation Bond Calculator </a:t>
          </a:r>
        </a:p>
        <a:p>
          <a:r>
            <a:rPr lang="en-AU" sz="1100">
              <a:effectLst/>
              <a:latin typeface="Arial" panose="020B0604020202020204" pitchFamily="34" charset="0"/>
              <a:ea typeface="+mn-ea"/>
              <a:cs typeface="Arial" panose="020B0604020202020204" pitchFamily="34" charset="0"/>
            </a:rPr>
            <a:t> </a:t>
          </a:r>
        </a:p>
        <a:p>
          <a:r>
            <a:rPr lang="en-AU" sz="1100">
              <a:effectLst/>
              <a:latin typeface="Arial" panose="020B0604020202020204" pitchFamily="34" charset="0"/>
              <a:ea typeface="+mn-ea"/>
              <a:cs typeface="Arial" panose="020B0604020202020204" pitchFamily="34" charset="0"/>
            </a:rPr>
            <a:t> </a:t>
          </a:r>
        </a:p>
        <a:p>
          <a:r>
            <a:rPr lang="en-AU" sz="1100">
              <a:effectLst/>
              <a:latin typeface="Arial" panose="020B0604020202020204" pitchFamily="34" charset="0"/>
              <a:ea typeface="+mn-ea"/>
              <a:cs typeface="Arial" panose="020B0604020202020204" pitchFamily="34" charset="0"/>
            </a:rPr>
            <a:t>The Resources Victoria Regulatory Operations</a:t>
          </a:r>
          <a:r>
            <a:rPr lang="en-AU" sz="1100" baseline="0">
              <a:effectLst/>
              <a:latin typeface="Arial" panose="020B0604020202020204" pitchFamily="34" charset="0"/>
              <a:ea typeface="+mn-ea"/>
              <a:cs typeface="Arial" panose="020B0604020202020204" pitchFamily="34" charset="0"/>
            </a:rPr>
            <a:t> </a:t>
          </a:r>
          <a:r>
            <a:rPr lang="en-AU" sz="1100">
              <a:effectLst/>
              <a:latin typeface="Arial" panose="020B0604020202020204" pitchFamily="34" charset="0"/>
              <a:ea typeface="+mn-ea"/>
              <a:cs typeface="Arial" panose="020B0604020202020204" pitchFamily="34" charset="0"/>
            </a:rPr>
            <a:t>within the Department of Energy, Environment and Climate Action is responsible for determining rehabilitation bonds for mining and extractive industries in Victoria as required by the </a:t>
          </a:r>
          <a:r>
            <a:rPr lang="en-AU" sz="1100" i="1">
              <a:effectLst/>
              <a:latin typeface="Arial" panose="020B0604020202020204" pitchFamily="34" charset="0"/>
              <a:ea typeface="+mn-ea"/>
              <a:cs typeface="Arial" panose="020B0604020202020204" pitchFamily="34" charset="0"/>
            </a:rPr>
            <a:t>Mineral Resources (Sustainable Development) Act</a:t>
          </a:r>
          <a:r>
            <a:rPr lang="en-AU" sz="1100">
              <a:effectLst/>
              <a:latin typeface="Arial" panose="020B0604020202020204" pitchFamily="34" charset="0"/>
              <a:ea typeface="+mn-ea"/>
              <a:cs typeface="Arial" panose="020B0604020202020204" pitchFamily="34" charset="0"/>
            </a:rPr>
            <a:t> 1990.</a:t>
          </a:r>
        </a:p>
        <a:p>
          <a:r>
            <a:rPr lang="en-AU" sz="1100">
              <a:effectLst/>
              <a:latin typeface="Arial" panose="020B0604020202020204" pitchFamily="34" charset="0"/>
              <a:ea typeface="+mn-ea"/>
              <a:cs typeface="Arial" panose="020B0604020202020204" pitchFamily="34" charset="0"/>
            </a:rPr>
            <a:t>A rehabilitation bond is a financial security which must be provided by an authority holder prior to commencing work. The rehabilitation bond must reflect 100 per cent of the estimated rehabilitation cost and is in place to ensure that the rehabilitation can be undertaken by the regulator should the authority holder be unable to meet their rehabilitation obligations.  </a:t>
          </a:r>
        </a:p>
        <a:p>
          <a:r>
            <a:rPr lang="en-AU" sz="1100">
              <a:effectLst/>
              <a:latin typeface="Arial" panose="020B0604020202020204" pitchFamily="34" charset="0"/>
              <a:ea typeface="+mn-ea"/>
              <a:cs typeface="Arial" panose="020B0604020202020204" pitchFamily="34" charset="0"/>
            </a:rPr>
            <a:t> </a:t>
          </a:r>
        </a:p>
        <a:p>
          <a:r>
            <a:rPr lang="en-AU" sz="1100" b="1">
              <a:effectLst/>
              <a:latin typeface="Arial" panose="020B0604020202020204" pitchFamily="34" charset="0"/>
              <a:ea typeface="+mn-ea"/>
              <a:cs typeface="Arial" panose="020B0604020202020204" pitchFamily="34" charset="0"/>
            </a:rPr>
            <a:t>Rehabilitation Liability Determination</a:t>
          </a:r>
          <a:endParaRPr lang="en-AU" sz="1100">
            <a:effectLst/>
            <a:latin typeface="Arial" panose="020B0604020202020204" pitchFamily="34" charset="0"/>
            <a:ea typeface="+mn-ea"/>
            <a:cs typeface="Arial" panose="020B0604020202020204" pitchFamily="34" charset="0"/>
          </a:endParaRPr>
        </a:p>
        <a:p>
          <a:r>
            <a:rPr lang="en-AU" sz="1100">
              <a:effectLst/>
              <a:latin typeface="Arial" panose="020B0604020202020204" pitchFamily="34" charset="0"/>
              <a:ea typeface="+mn-ea"/>
              <a:cs typeface="Arial" panose="020B0604020202020204" pitchFamily="34" charset="0"/>
            </a:rPr>
            <a:t>The rehabilitation bond calculator is the recommended method for assessing the rehabilitation liability for any site that does not meet the requirements for application of standard rates for Code of Practice operations. The calculator does not purport to contain all the information which the authority holder will require to calculate any rehabilitation liability.</a:t>
          </a:r>
        </a:p>
        <a:p>
          <a:endParaRPr lang="en-AU" sz="1100">
            <a:effectLst/>
            <a:latin typeface="Arial" panose="020B0604020202020204" pitchFamily="34" charset="0"/>
            <a:ea typeface="+mn-ea"/>
            <a:cs typeface="Arial" panose="020B0604020202020204" pitchFamily="34" charset="0"/>
          </a:endParaRPr>
        </a:p>
        <a:p>
          <a:r>
            <a:rPr lang="en-AU" sz="1100">
              <a:effectLst/>
              <a:latin typeface="Arial" panose="020B0604020202020204" pitchFamily="34" charset="0"/>
              <a:ea typeface="+mn-ea"/>
              <a:cs typeface="Arial" panose="020B0604020202020204" pitchFamily="34" charset="0"/>
            </a:rPr>
            <a:t>The authority holder should rely on their own independent investigations, review and analysis in using the calculator. The output of the calculator will depend on the accuracy of the information entered by the authority holder concerning the relevant approved rehabilitation plan and current and future site conditions.</a:t>
          </a:r>
        </a:p>
        <a:p>
          <a:r>
            <a:rPr lang="en-AU" sz="1100">
              <a:effectLst/>
              <a:latin typeface="Arial" panose="020B0604020202020204" pitchFamily="34" charset="0"/>
              <a:ea typeface="+mn-ea"/>
              <a:cs typeface="Arial" panose="020B0604020202020204" pitchFamily="34" charset="0"/>
            </a:rPr>
            <a:t> </a:t>
          </a:r>
        </a:p>
        <a:p>
          <a:r>
            <a:rPr lang="en-AU" sz="1100" b="1">
              <a:effectLst/>
              <a:latin typeface="Arial" panose="020B0604020202020204" pitchFamily="34" charset="0"/>
              <a:ea typeface="+mn-ea"/>
              <a:cs typeface="Arial" panose="020B0604020202020204" pitchFamily="34" charset="0"/>
            </a:rPr>
            <a:t>Default rates</a:t>
          </a:r>
          <a:endParaRPr lang="en-AU" sz="1100">
            <a:effectLst/>
            <a:latin typeface="Arial" panose="020B0604020202020204" pitchFamily="34" charset="0"/>
            <a:ea typeface="+mn-ea"/>
            <a:cs typeface="Arial" panose="020B0604020202020204" pitchFamily="34" charset="0"/>
          </a:endParaRPr>
        </a:p>
        <a:p>
          <a:r>
            <a:rPr lang="en-AU" sz="1100">
              <a:effectLst/>
              <a:latin typeface="Arial" panose="020B0604020202020204" pitchFamily="34" charset="0"/>
              <a:ea typeface="+mn-ea"/>
              <a:cs typeface="Arial" panose="020B0604020202020204" pitchFamily="34" charset="0"/>
            </a:rPr>
            <a:t>The default third party rates included in the calculator are for general information only and use typical market ‘third party’ contract rates current as at July 2026. For the purposes of a rehabilitation liability assessment, the Department or an environmental auditor appointed under the </a:t>
          </a:r>
          <a:r>
            <a:rPr lang="en-AU" sz="1100" i="1">
              <a:effectLst/>
              <a:latin typeface="Arial" panose="020B0604020202020204" pitchFamily="34" charset="0"/>
              <a:ea typeface="+mn-ea"/>
              <a:cs typeface="Arial" panose="020B0604020202020204" pitchFamily="34" charset="0"/>
            </a:rPr>
            <a:t>Mineral Resources (Sustainable Development) Act 1990</a:t>
          </a:r>
          <a:r>
            <a:rPr lang="en-AU" sz="1100">
              <a:effectLst/>
              <a:latin typeface="Arial" panose="020B0604020202020204" pitchFamily="34" charset="0"/>
              <a:ea typeface="+mn-ea"/>
              <a:cs typeface="Arial" panose="020B0604020202020204" pitchFamily="34" charset="0"/>
            </a:rPr>
            <a:t> may set different rates for specific sites. These rates may be higher for specific sites. </a:t>
          </a:r>
        </a:p>
        <a:p>
          <a:endParaRPr lang="en-AU" sz="1100">
            <a:effectLst/>
            <a:latin typeface="Arial" panose="020B0604020202020204" pitchFamily="34" charset="0"/>
            <a:ea typeface="+mn-ea"/>
            <a:cs typeface="Arial" panose="020B0604020202020204" pitchFamily="34" charset="0"/>
          </a:endParaRPr>
        </a:p>
        <a:p>
          <a:r>
            <a:rPr lang="en-AU" sz="1100">
              <a:effectLst/>
              <a:latin typeface="Arial" panose="020B0604020202020204" pitchFamily="34" charset="0"/>
              <a:ea typeface="+mn-ea"/>
              <a:cs typeface="Arial" panose="020B0604020202020204" pitchFamily="34" charset="0"/>
            </a:rPr>
            <a:t>The authority holder must review default rates included in the calculator and ensure they are applicable to their site conditions. If not, they should specify an alternative rate and insert this rate into the calculator. Any alternative rate must be substantiated in a form acceptable to the Department and must be determined using current market ‘third party’ contract rates.  </a:t>
          </a:r>
        </a:p>
        <a:p>
          <a:r>
            <a:rPr lang="en-AU" sz="1100" b="1">
              <a:effectLst/>
              <a:latin typeface="Arial" panose="020B0604020202020204" pitchFamily="34" charset="0"/>
              <a:ea typeface="+mn-ea"/>
              <a:cs typeface="Arial" panose="020B0604020202020204" pitchFamily="34" charset="0"/>
            </a:rPr>
            <a:t> </a:t>
          </a:r>
          <a:endParaRPr lang="en-AU" sz="1100">
            <a:effectLst/>
            <a:latin typeface="Arial" panose="020B0604020202020204" pitchFamily="34" charset="0"/>
            <a:ea typeface="+mn-ea"/>
            <a:cs typeface="Arial" panose="020B0604020202020204" pitchFamily="34" charset="0"/>
          </a:endParaRPr>
        </a:p>
        <a:p>
          <a:r>
            <a:rPr lang="en-AU" sz="1100" b="1">
              <a:effectLst/>
              <a:latin typeface="Arial" panose="020B0604020202020204" pitchFamily="34" charset="0"/>
              <a:ea typeface="+mn-ea"/>
              <a:cs typeface="Arial" panose="020B0604020202020204" pitchFamily="34" charset="0"/>
            </a:rPr>
            <a:t>Accuracy of information</a:t>
          </a:r>
          <a:endParaRPr lang="en-AU" sz="1100">
            <a:effectLst/>
            <a:latin typeface="Arial" panose="020B0604020202020204" pitchFamily="34" charset="0"/>
            <a:ea typeface="+mn-ea"/>
            <a:cs typeface="Arial" panose="020B0604020202020204" pitchFamily="34" charset="0"/>
          </a:endParaRPr>
        </a:p>
        <a:p>
          <a:r>
            <a:rPr lang="en-AU" sz="1100">
              <a:effectLst/>
              <a:latin typeface="Arial" panose="020B0604020202020204" pitchFamily="34" charset="0"/>
              <a:ea typeface="+mn-ea"/>
              <a:cs typeface="Arial" panose="020B0604020202020204" pitchFamily="34" charset="0"/>
            </a:rPr>
            <a:t>The authority holder must ensure that they use the most up to date version of the calculator by checking the Department’s website. The Department may revise the rates and formulae used in the calculator at any time without notice but is not under any obligation to do so. </a:t>
          </a:r>
        </a:p>
        <a:p>
          <a:pPr algn="l" rtl="0">
            <a:defRPr sz="1000"/>
          </a:pPr>
          <a:endParaRPr lang="en-AU"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AU" sz="10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editAs="oneCell">
    <xdr:from>
      <xdr:col>8</xdr:col>
      <xdr:colOff>314325</xdr:colOff>
      <xdr:row>3</xdr:row>
      <xdr:rowOff>85725</xdr:rowOff>
    </xdr:from>
    <xdr:to>
      <xdr:col>11</xdr:col>
      <xdr:colOff>223520</xdr:colOff>
      <xdr:row>6</xdr:row>
      <xdr:rowOff>44450</xdr:rowOff>
    </xdr:to>
    <xdr:pic>
      <xdr:nvPicPr>
        <xdr:cNvPr id="4" name="Cover_Logo_StateGovt" descr="The State of Victoria Department of Energy, Environment and Climate Action">
          <a:extLst>
            <a:ext uri="{FF2B5EF4-FFF2-40B4-BE49-F238E27FC236}">
              <a16:creationId xmlns:a16="http://schemas.microsoft.com/office/drawing/2014/main" id="{26892B5A-1039-44C3-A9C8-E888B9578C0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95775" y="695325"/>
          <a:ext cx="1737995" cy="444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72">
          <a:extLst>
            <a:ext uri="{FF2B5EF4-FFF2-40B4-BE49-F238E27FC236}">
              <a16:creationId xmlns:a16="http://schemas.microsoft.com/office/drawing/2014/main" id="{6CCF0563-65D6-44E1-BBB8-67DEB03DCCF6}"/>
            </a:ext>
          </a:extLst>
        </xdr:cNvPr>
        <xdr:cNvGrpSpPr>
          <a:grpSpLocks/>
        </xdr:cNvGrpSpPr>
      </xdr:nvGrpSpPr>
      <xdr:grpSpPr bwMode="auto">
        <a:xfrm>
          <a:off x="10220325" y="1447800"/>
          <a:ext cx="485775" cy="647700"/>
          <a:chOff x="672" y="164"/>
          <a:chExt cx="78" cy="68"/>
        </a:xfrm>
      </xdr:grpSpPr>
      <xdr:sp macro="" textlink="">
        <xdr:nvSpPr>
          <xdr:cNvPr id="3" name="Rectangle 73">
            <a:extLst>
              <a:ext uri="{FF2B5EF4-FFF2-40B4-BE49-F238E27FC236}">
                <a16:creationId xmlns:a16="http://schemas.microsoft.com/office/drawing/2014/main" id="{191E696B-4563-5609-3948-38BB0D2F41C1}"/>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74">
            <a:extLst>
              <a:ext uri="{FF2B5EF4-FFF2-40B4-BE49-F238E27FC236}">
                <a16:creationId xmlns:a16="http://schemas.microsoft.com/office/drawing/2014/main" id="{ED627FF5-C478-B078-3A86-0C5ADBB25012}"/>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75">
            <a:extLst>
              <a:ext uri="{FF2B5EF4-FFF2-40B4-BE49-F238E27FC236}">
                <a16:creationId xmlns:a16="http://schemas.microsoft.com/office/drawing/2014/main" id="{4D88C7B6-77A4-0B87-5D36-71ED009D0C6E}"/>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76">
            <a:extLst>
              <a:ext uri="{FF2B5EF4-FFF2-40B4-BE49-F238E27FC236}">
                <a16:creationId xmlns:a16="http://schemas.microsoft.com/office/drawing/2014/main" id="{0D514B1B-B8E9-BA4D-1C0D-BCC61411C5B0}"/>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72">
          <a:extLst>
            <a:ext uri="{FF2B5EF4-FFF2-40B4-BE49-F238E27FC236}">
              <a16:creationId xmlns:a16="http://schemas.microsoft.com/office/drawing/2014/main" id="{9387A886-F1E2-4EF0-919A-B9957AC4D629}"/>
            </a:ext>
          </a:extLst>
        </xdr:cNvPr>
        <xdr:cNvGrpSpPr>
          <a:grpSpLocks/>
        </xdr:cNvGrpSpPr>
      </xdr:nvGrpSpPr>
      <xdr:grpSpPr bwMode="auto">
        <a:xfrm>
          <a:off x="10220325" y="1447800"/>
          <a:ext cx="485775" cy="647700"/>
          <a:chOff x="672" y="164"/>
          <a:chExt cx="78" cy="68"/>
        </a:xfrm>
      </xdr:grpSpPr>
      <xdr:sp macro="" textlink="">
        <xdr:nvSpPr>
          <xdr:cNvPr id="8" name="Rectangle 73">
            <a:extLst>
              <a:ext uri="{FF2B5EF4-FFF2-40B4-BE49-F238E27FC236}">
                <a16:creationId xmlns:a16="http://schemas.microsoft.com/office/drawing/2014/main" id="{3C1E2D82-8C65-1D38-B83A-A1BC7F67015C}"/>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74">
            <a:extLst>
              <a:ext uri="{FF2B5EF4-FFF2-40B4-BE49-F238E27FC236}">
                <a16:creationId xmlns:a16="http://schemas.microsoft.com/office/drawing/2014/main" id="{EFA203DC-91A8-3A0B-E9AB-E945AB9D8777}"/>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75">
            <a:extLst>
              <a:ext uri="{FF2B5EF4-FFF2-40B4-BE49-F238E27FC236}">
                <a16:creationId xmlns:a16="http://schemas.microsoft.com/office/drawing/2014/main" id="{8DBEFA76-05CB-B4BC-DAC1-AB1D14E9AB0F}"/>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76">
            <a:extLst>
              <a:ext uri="{FF2B5EF4-FFF2-40B4-BE49-F238E27FC236}">
                <a16:creationId xmlns:a16="http://schemas.microsoft.com/office/drawing/2014/main" id="{2AC036F9-4F73-0EF4-F630-5945723CF162}"/>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7">
          <a:extLst>
            <a:ext uri="{FF2B5EF4-FFF2-40B4-BE49-F238E27FC236}">
              <a16:creationId xmlns:a16="http://schemas.microsoft.com/office/drawing/2014/main" id="{CC2EF23E-446D-4E06-84D7-937248AC8D38}"/>
            </a:ext>
          </a:extLst>
        </xdr:cNvPr>
        <xdr:cNvGrpSpPr>
          <a:grpSpLocks/>
        </xdr:cNvGrpSpPr>
      </xdr:nvGrpSpPr>
      <xdr:grpSpPr bwMode="auto">
        <a:xfrm>
          <a:off x="10220325" y="1447800"/>
          <a:ext cx="485775" cy="647700"/>
          <a:chOff x="672" y="164"/>
          <a:chExt cx="78" cy="68"/>
        </a:xfrm>
      </xdr:grpSpPr>
      <xdr:sp macro="" textlink="">
        <xdr:nvSpPr>
          <xdr:cNvPr id="3" name="Rectangle 8">
            <a:extLst>
              <a:ext uri="{FF2B5EF4-FFF2-40B4-BE49-F238E27FC236}">
                <a16:creationId xmlns:a16="http://schemas.microsoft.com/office/drawing/2014/main" id="{56CC49F3-6ED3-03E6-5A66-FA5B5D8BABFC}"/>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9">
            <a:extLst>
              <a:ext uri="{FF2B5EF4-FFF2-40B4-BE49-F238E27FC236}">
                <a16:creationId xmlns:a16="http://schemas.microsoft.com/office/drawing/2014/main" id="{46942A8F-E832-B007-4AEC-B99FA76509AF}"/>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10">
            <a:extLst>
              <a:ext uri="{FF2B5EF4-FFF2-40B4-BE49-F238E27FC236}">
                <a16:creationId xmlns:a16="http://schemas.microsoft.com/office/drawing/2014/main" id="{AFDA5F72-85EB-AEAF-8342-082FE8C5A808}"/>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11">
            <a:extLst>
              <a:ext uri="{FF2B5EF4-FFF2-40B4-BE49-F238E27FC236}">
                <a16:creationId xmlns:a16="http://schemas.microsoft.com/office/drawing/2014/main" id="{9B44B193-8A33-C8E3-034C-A5FC5BFDCACA}"/>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7">
          <a:extLst>
            <a:ext uri="{FF2B5EF4-FFF2-40B4-BE49-F238E27FC236}">
              <a16:creationId xmlns:a16="http://schemas.microsoft.com/office/drawing/2014/main" id="{407967BD-DE38-4D0C-BB28-344E5F0D18A6}"/>
            </a:ext>
          </a:extLst>
        </xdr:cNvPr>
        <xdr:cNvGrpSpPr>
          <a:grpSpLocks/>
        </xdr:cNvGrpSpPr>
      </xdr:nvGrpSpPr>
      <xdr:grpSpPr bwMode="auto">
        <a:xfrm>
          <a:off x="10220325" y="1447800"/>
          <a:ext cx="485775" cy="647700"/>
          <a:chOff x="672" y="164"/>
          <a:chExt cx="78" cy="68"/>
        </a:xfrm>
      </xdr:grpSpPr>
      <xdr:sp macro="" textlink="">
        <xdr:nvSpPr>
          <xdr:cNvPr id="8" name="Rectangle 8">
            <a:extLst>
              <a:ext uri="{FF2B5EF4-FFF2-40B4-BE49-F238E27FC236}">
                <a16:creationId xmlns:a16="http://schemas.microsoft.com/office/drawing/2014/main" id="{7ED27503-2DA2-9FDB-13D5-7405B28B00DA}"/>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9">
            <a:extLst>
              <a:ext uri="{FF2B5EF4-FFF2-40B4-BE49-F238E27FC236}">
                <a16:creationId xmlns:a16="http://schemas.microsoft.com/office/drawing/2014/main" id="{9FD0E223-C8FB-7F33-91B6-30949B16A644}"/>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10">
            <a:extLst>
              <a:ext uri="{FF2B5EF4-FFF2-40B4-BE49-F238E27FC236}">
                <a16:creationId xmlns:a16="http://schemas.microsoft.com/office/drawing/2014/main" id="{19044369-C952-28AD-A799-466D2DC8AAF2}"/>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1">
            <a:extLst>
              <a:ext uri="{FF2B5EF4-FFF2-40B4-BE49-F238E27FC236}">
                <a16:creationId xmlns:a16="http://schemas.microsoft.com/office/drawing/2014/main" id="{F1BFA987-E235-8F0E-156E-3F83B0A838F9}"/>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26">
          <a:extLst>
            <a:ext uri="{FF2B5EF4-FFF2-40B4-BE49-F238E27FC236}">
              <a16:creationId xmlns:a16="http://schemas.microsoft.com/office/drawing/2014/main" id="{97BDB009-D87F-48FF-9111-97C99A3F46C3}"/>
            </a:ext>
          </a:extLst>
        </xdr:cNvPr>
        <xdr:cNvGrpSpPr>
          <a:grpSpLocks/>
        </xdr:cNvGrpSpPr>
      </xdr:nvGrpSpPr>
      <xdr:grpSpPr bwMode="auto">
        <a:xfrm>
          <a:off x="9896475" y="1066800"/>
          <a:ext cx="485775" cy="647700"/>
          <a:chOff x="672" y="164"/>
          <a:chExt cx="78" cy="68"/>
        </a:xfrm>
      </xdr:grpSpPr>
      <xdr:sp macro="" textlink="">
        <xdr:nvSpPr>
          <xdr:cNvPr id="3" name="Rectangle 27">
            <a:extLst>
              <a:ext uri="{FF2B5EF4-FFF2-40B4-BE49-F238E27FC236}">
                <a16:creationId xmlns:a16="http://schemas.microsoft.com/office/drawing/2014/main" id="{CEDCD6CD-BD44-532E-8287-808E85BC3D5F}"/>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28">
            <a:extLst>
              <a:ext uri="{FF2B5EF4-FFF2-40B4-BE49-F238E27FC236}">
                <a16:creationId xmlns:a16="http://schemas.microsoft.com/office/drawing/2014/main" id="{5D57008C-90EA-7B26-E405-7B7B9BAAA5EC}"/>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29">
            <a:extLst>
              <a:ext uri="{FF2B5EF4-FFF2-40B4-BE49-F238E27FC236}">
                <a16:creationId xmlns:a16="http://schemas.microsoft.com/office/drawing/2014/main" id="{0DD68E34-0C2C-DB16-CAC2-018D2F8DF09E}"/>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30">
            <a:extLst>
              <a:ext uri="{FF2B5EF4-FFF2-40B4-BE49-F238E27FC236}">
                <a16:creationId xmlns:a16="http://schemas.microsoft.com/office/drawing/2014/main" id="{0E7FC716-1C7A-76E2-7EC5-27C72B33F256}"/>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26">
          <a:extLst>
            <a:ext uri="{FF2B5EF4-FFF2-40B4-BE49-F238E27FC236}">
              <a16:creationId xmlns:a16="http://schemas.microsoft.com/office/drawing/2014/main" id="{9DFED9A6-FD72-48C1-9735-A9B3B435F53B}"/>
            </a:ext>
          </a:extLst>
        </xdr:cNvPr>
        <xdr:cNvGrpSpPr>
          <a:grpSpLocks/>
        </xdr:cNvGrpSpPr>
      </xdr:nvGrpSpPr>
      <xdr:grpSpPr bwMode="auto">
        <a:xfrm>
          <a:off x="9896475" y="1066800"/>
          <a:ext cx="485775" cy="647700"/>
          <a:chOff x="672" y="164"/>
          <a:chExt cx="78" cy="68"/>
        </a:xfrm>
      </xdr:grpSpPr>
      <xdr:sp macro="" textlink="">
        <xdr:nvSpPr>
          <xdr:cNvPr id="8" name="Rectangle 27">
            <a:extLst>
              <a:ext uri="{FF2B5EF4-FFF2-40B4-BE49-F238E27FC236}">
                <a16:creationId xmlns:a16="http://schemas.microsoft.com/office/drawing/2014/main" id="{9B2280FB-1C77-D12E-1030-E2826B062352}"/>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28">
            <a:extLst>
              <a:ext uri="{FF2B5EF4-FFF2-40B4-BE49-F238E27FC236}">
                <a16:creationId xmlns:a16="http://schemas.microsoft.com/office/drawing/2014/main" id="{70C24163-5941-AB59-403A-542507BC4CFC}"/>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29">
            <a:extLst>
              <a:ext uri="{FF2B5EF4-FFF2-40B4-BE49-F238E27FC236}">
                <a16:creationId xmlns:a16="http://schemas.microsoft.com/office/drawing/2014/main" id="{4656B940-A86E-DB1E-0958-269ED6F5CDF4}"/>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30">
            <a:extLst>
              <a:ext uri="{FF2B5EF4-FFF2-40B4-BE49-F238E27FC236}">
                <a16:creationId xmlns:a16="http://schemas.microsoft.com/office/drawing/2014/main" id="{598EB131-3C0B-9D77-CFDC-C27945B4F2F5}"/>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xdr:row>
      <xdr:rowOff>0</xdr:rowOff>
    </xdr:from>
    <xdr:to>
      <xdr:col>12</xdr:col>
      <xdr:colOff>0</xdr:colOff>
      <xdr:row>53</xdr:row>
      <xdr:rowOff>0</xdr:rowOff>
    </xdr:to>
    <xdr:sp macro="" textlink="">
      <xdr:nvSpPr>
        <xdr:cNvPr id="2" name="Text Box 1">
          <a:extLst>
            <a:ext uri="{FF2B5EF4-FFF2-40B4-BE49-F238E27FC236}">
              <a16:creationId xmlns:a16="http://schemas.microsoft.com/office/drawing/2014/main" id="{4B75D3C9-253D-4840-A3C9-D7B9C5341628}"/>
            </a:ext>
          </a:extLst>
        </xdr:cNvPr>
        <xdr:cNvSpPr txBox="1">
          <a:spLocks noChangeArrowheads="1"/>
        </xdr:cNvSpPr>
      </xdr:nvSpPr>
      <xdr:spPr bwMode="auto">
        <a:xfrm>
          <a:off x="323850" y="1095375"/>
          <a:ext cx="6096000" cy="7648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102">
          <a:extLst>
            <a:ext uri="{FF2B5EF4-FFF2-40B4-BE49-F238E27FC236}">
              <a16:creationId xmlns:a16="http://schemas.microsoft.com/office/drawing/2014/main" id="{BB04D372-383F-4786-82AA-FF0B1A150664}"/>
            </a:ext>
          </a:extLst>
        </xdr:cNvPr>
        <xdr:cNvGrpSpPr>
          <a:grpSpLocks/>
        </xdr:cNvGrpSpPr>
      </xdr:nvGrpSpPr>
      <xdr:grpSpPr bwMode="auto">
        <a:xfrm>
          <a:off x="10334625" y="1447800"/>
          <a:ext cx="485775" cy="647700"/>
          <a:chOff x="672" y="164"/>
          <a:chExt cx="78" cy="68"/>
        </a:xfrm>
      </xdr:grpSpPr>
      <xdr:sp macro="" textlink="">
        <xdr:nvSpPr>
          <xdr:cNvPr id="3" name="Rectangle 103">
            <a:extLst>
              <a:ext uri="{FF2B5EF4-FFF2-40B4-BE49-F238E27FC236}">
                <a16:creationId xmlns:a16="http://schemas.microsoft.com/office/drawing/2014/main" id="{0001264A-A85D-2516-E52A-173C55B9B475}"/>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104">
            <a:extLst>
              <a:ext uri="{FF2B5EF4-FFF2-40B4-BE49-F238E27FC236}">
                <a16:creationId xmlns:a16="http://schemas.microsoft.com/office/drawing/2014/main" id="{6E87DB5A-F555-60D2-3A22-F0A7F64CEE9C}"/>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105">
            <a:extLst>
              <a:ext uri="{FF2B5EF4-FFF2-40B4-BE49-F238E27FC236}">
                <a16:creationId xmlns:a16="http://schemas.microsoft.com/office/drawing/2014/main" id="{689F12AA-F619-1209-9EC9-071D1466F8DA}"/>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106">
            <a:extLst>
              <a:ext uri="{FF2B5EF4-FFF2-40B4-BE49-F238E27FC236}">
                <a16:creationId xmlns:a16="http://schemas.microsoft.com/office/drawing/2014/main" id="{95BA7AD2-AB12-90A9-AFAF-C72F7245E180}"/>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102">
          <a:extLst>
            <a:ext uri="{FF2B5EF4-FFF2-40B4-BE49-F238E27FC236}">
              <a16:creationId xmlns:a16="http://schemas.microsoft.com/office/drawing/2014/main" id="{07561CF9-011D-4B01-B890-A450B5A8731C}"/>
            </a:ext>
          </a:extLst>
        </xdr:cNvPr>
        <xdr:cNvGrpSpPr>
          <a:grpSpLocks/>
        </xdr:cNvGrpSpPr>
      </xdr:nvGrpSpPr>
      <xdr:grpSpPr bwMode="auto">
        <a:xfrm>
          <a:off x="10334625" y="1447800"/>
          <a:ext cx="485775" cy="647700"/>
          <a:chOff x="672" y="164"/>
          <a:chExt cx="78" cy="68"/>
        </a:xfrm>
      </xdr:grpSpPr>
      <xdr:sp macro="" textlink="">
        <xdr:nvSpPr>
          <xdr:cNvPr id="8" name="Rectangle 103">
            <a:extLst>
              <a:ext uri="{FF2B5EF4-FFF2-40B4-BE49-F238E27FC236}">
                <a16:creationId xmlns:a16="http://schemas.microsoft.com/office/drawing/2014/main" id="{8ED0FA5E-9DD2-C9F2-9442-6607398C963E}"/>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104">
            <a:extLst>
              <a:ext uri="{FF2B5EF4-FFF2-40B4-BE49-F238E27FC236}">
                <a16:creationId xmlns:a16="http://schemas.microsoft.com/office/drawing/2014/main" id="{C366E4EA-2D28-C5B2-DB42-81032DC05A2F}"/>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105">
            <a:extLst>
              <a:ext uri="{FF2B5EF4-FFF2-40B4-BE49-F238E27FC236}">
                <a16:creationId xmlns:a16="http://schemas.microsoft.com/office/drawing/2014/main" id="{FF83E355-0BFE-8581-86A8-CCBE2FEA17AB}"/>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06">
            <a:extLst>
              <a:ext uri="{FF2B5EF4-FFF2-40B4-BE49-F238E27FC236}">
                <a16:creationId xmlns:a16="http://schemas.microsoft.com/office/drawing/2014/main" id="{77F59082-6D4F-E57B-CB2A-F34DA4242EB1}"/>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15">
          <a:extLst>
            <a:ext uri="{FF2B5EF4-FFF2-40B4-BE49-F238E27FC236}">
              <a16:creationId xmlns:a16="http://schemas.microsoft.com/office/drawing/2014/main" id="{9AD6156F-9C89-4511-8872-A92A73AB8691}"/>
            </a:ext>
          </a:extLst>
        </xdr:cNvPr>
        <xdr:cNvGrpSpPr>
          <a:grpSpLocks/>
        </xdr:cNvGrpSpPr>
      </xdr:nvGrpSpPr>
      <xdr:grpSpPr bwMode="auto">
        <a:xfrm>
          <a:off x="10220325" y="1447800"/>
          <a:ext cx="485775" cy="647700"/>
          <a:chOff x="672" y="164"/>
          <a:chExt cx="78" cy="68"/>
        </a:xfrm>
      </xdr:grpSpPr>
      <xdr:sp macro="" textlink="">
        <xdr:nvSpPr>
          <xdr:cNvPr id="3" name="Rectangle 16">
            <a:extLst>
              <a:ext uri="{FF2B5EF4-FFF2-40B4-BE49-F238E27FC236}">
                <a16:creationId xmlns:a16="http://schemas.microsoft.com/office/drawing/2014/main" id="{E7E0E6F3-1651-1A66-220A-C016C730903A}"/>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17">
            <a:extLst>
              <a:ext uri="{FF2B5EF4-FFF2-40B4-BE49-F238E27FC236}">
                <a16:creationId xmlns:a16="http://schemas.microsoft.com/office/drawing/2014/main" id="{FE537FC8-DAFB-AFC5-E694-34C20BF8AB20}"/>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18">
            <a:extLst>
              <a:ext uri="{FF2B5EF4-FFF2-40B4-BE49-F238E27FC236}">
                <a16:creationId xmlns:a16="http://schemas.microsoft.com/office/drawing/2014/main" id="{37E47A78-AF26-2D13-9724-1466A815E6ED}"/>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19">
            <a:extLst>
              <a:ext uri="{FF2B5EF4-FFF2-40B4-BE49-F238E27FC236}">
                <a16:creationId xmlns:a16="http://schemas.microsoft.com/office/drawing/2014/main" id="{A0919FB1-AF31-69AC-5A46-2A7C50188E13}"/>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15">
          <a:extLst>
            <a:ext uri="{FF2B5EF4-FFF2-40B4-BE49-F238E27FC236}">
              <a16:creationId xmlns:a16="http://schemas.microsoft.com/office/drawing/2014/main" id="{2BC7CDA1-5A58-4EAE-932C-20C9BF9917CE}"/>
            </a:ext>
          </a:extLst>
        </xdr:cNvPr>
        <xdr:cNvGrpSpPr>
          <a:grpSpLocks/>
        </xdr:cNvGrpSpPr>
      </xdr:nvGrpSpPr>
      <xdr:grpSpPr bwMode="auto">
        <a:xfrm>
          <a:off x="10220325" y="1447800"/>
          <a:ext cx="485775" cy="647700"/>
          <a:chOff x="672" y="164"/>
          <a:chExt cx="78" cy="68"/>
        </a:xfrm>
      </xdr:grpSpPr>
      <xdr:sp macro="" textlink="">
        <xdr:nvSpPr>
          <xdr:cNvPr id="8" name="Rectangle 16">
            <a:extLst>
              <a:ext uri="{FF2B5EF4-FFF2-40B4-BE49-F238E27FC236}">
                <a16:creationId xmlns:a16="http://schemas.microsoft.com/office/drawing/2014/main" id="{69DE889A-0E76-2540-C193-0E80147F2817}"/>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17">
            <a:extLst>
              <a:ext uri="{FF2B5EF4-FFF2-40B4-BE49-F238E27FC236}">
                <a16:creationId xmlns:a16="http://schemas.microsoft.com/office/drawing/2014/main" id="{9CC25D91-30AD-A43C-E397-3695E3069AA6}"/>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18">
            <a:extLst>
              <a:ext uri="{FF2B5EF4-FFF2-40B4-BE49-F238E27FC236}">
                <a16:creationId xmlns:a16="http://schemas.microsoft.com/office/drawing/2014/main" id="{1174B35D-494B-22C5-E880-22C69A3399B5}"/>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9">
            <a:extLst>
              <a:ext uri="{FF2B5EF4-FFF2-40B4-BE49-F238E27FC236}">
                <a16:creationId xmlns:a16="http://schemas.microsoft.com/office/drawing/2014/main" id="{C9369946-AEF7-63D9-6EC3-6BB2550AC3D0}"/>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15">
          <a:extLst>
            <a:ext uri="{FF2B5EF4-FFF2-40B4-BE49-F238E27FC236}">
              <a16:creationId xmlns:a16="http://schemas.microsoft.com/office/drawing/2014/main" id="{86272F45-12EE-4421-A426-DCE13EEF3D7C}"/>
            </a:ext>
          </a:extLst>
        </xdr:cNvPr>
        <xdr:cNvGrpSpPr>
          <a:grpSpLocks/>
        </xdr:cNvGrpSpPr>
      </xdr:nvGrpSpPr>
      <xdr:grpSpPr bwMode="auto">
        <a:xfrm>
          <a:off x="10220325" y="1447800"/>
          <a:ext cx="485775" cy="647700"/>
          <a:chOff x="672" y="164"/>
          <a:chExt cx="78" cy="68"/>
        </a:xfrm>
      </xdr:grpSpPr>
      <xdr:sp macro="" textlink="">
        <xdr:nvSpPr>
          <xdr:cNvPr id="3" name="Rectangle 16">
            <a:extLst>
              <a:ext uri="{FF2B5EF4-FFF2-40B4-BE49-F238E27FC236}">
                <a16:creationId xmlns:a16="http://schemas.microsoft.com/office/drawing/2014/main" id="{A51A9C87-D49B-5E48-7980-2430F44F546C}"/>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17">
            <a:extLst>
              <a:ext uri="{FF2B5EF4-FFF2-40B4-BE49-F238E27FC236}">
                <a16:creationId xmlns:a16="http://schemas.microsoft.com/office/drawing/2014/main" id="{9D86E0E9-AFE0-A843-5F5B-BB558DEE16A0}"/>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18">
            <a:extLst>
              <a:ext uri="{FF2B5EF4-FFF2-40B4-BE49-F238E27FC236}">
                <a16:creationId xmlns:a16="http://schemas.microsoft.com/office/drawing/2014/main" id="{F7774401-CA7D-595A-9276-ECC665A741EF}"/>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19">
            <a:extLst>
              <a:ext uri="{FF2B5EF4-FFF2-40B4-BE49-F238E27FC236}">
                <a16:creationId xmlns:a16="http://schemas.microsoft.com/office/drawing/2014/main" id="{3A868AB7-71F6-6D6C-2FDB-6300DBB67AAA}"/>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15">
          <a:extLst>
            <a:ext uri="{FF2B5EF4-FFF2-40B4-BE49-F238E27FC236}">
              <a16:creationId xmlns:a16="http://schemas.microsoft.com/office/drawing/2014/main" id="{76FC1224-AE97-431D-B20D-FEDA29996D7E}"/>
            </a:ext>
          </a:extLst>
        </xdr:cNvPr>
        <xdr:cNvGrpSpPr>
          <a:grpSpLocks/>
        </xdr:cNvGrpSpPr>
      </xdr:nvGrpSpPr>
      <xdr:grpSpPr bwMode="auto">
        <a:xfrm>
          <a:off x="10220325" y="1447800"/>
          <a:ext cx="485775" cy="647700"/>
          <a:chOff x="672" y="164"/>
          <a:chExt cx="78" cy="68"/>
        </a:xfrm>
      </xdr:grpSpPr>
      <xdr:sp macro="" textlink="">
        <xdr:nvSpPr>
          <xdr:cNvPr id="8" name="Rectangle 16">
            <a:extLst>
              <a:ext uri="{FF2B5EF4-FFF2-40B4-BE49-F238E27FC236}">
                <a16:creationId xmlns:a16="http://schemas.microsoft.com/office/drawing/2014/main" id="{5B182455-EC16-43C2-95D9-83E41A35A1D6}"/>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17">
            <a:extLst>
              <a:ext uri="{FF2B5EF4-FFF2-40B4-BE49-F238E27FC236}">
                <a16:creationId xmlns:a16="http://schemas.microsoft.com/office/drawing/2014/main" id="{D34FF931-AE63-2D33-F364-1839398F719C}"/>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18">
            <a:extLst>
              <a:ext uri="{FF2B5EF4-FFF2-40B4-BE49-F238E27FC236}">
                <a16:creationId xmlns:a16="http://schemas.microsoft.com/office/drawing/2014/main" id="{F6A6C974-0F21-A6C5-5CEB-42AF92B6AF59}"/>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9">
            <a:extLst>
              <a:ext uri="{FF2B5EF4-FFF2-40B4-BE49-F238E27FC236}">
                <a16:creationId xmlns:a16="http://schemas.microsoft.com/office/drawing/2014/main" id="{29D82A6D-BC12-8534-4CE5-F3CB6896EBB9}"/>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15">
          <a:extLst>
            <a:ext uri="{FF2B5EF4-FFF2-40B4-BE49-F238E27FC236}">
              <a16:creationId xmlns:a16="http://schemas.microsoft.com/office/drawing/2014/main" id="{FA4131F6-44DF-461F-9BBD-9A7E4A6C7F04}"/>
            </a:ext>
          </a:extLst>
        </xdr:cNvPr>
        <xdr:cNvGrpSpPr>
          <a:grpSpLocks/>
        </xdr:cNvGrpSpPr>
      </xdr:nvGrpSpPr>
      <xdr:grpSpPr bwMode="auto">
        <a:xfrm>
          <a:off x="10220325" y="1447800"/>
          <a:ext cx="485775" cy="647700"/>
          <a:chOff x="672" y="164"/>
          <a:chExt cx="78" cy="68"/>
        </a:xfrm>
      </xdr:grpSpPr>
      <xdr:sp macro="" textlink="">
        <xdr:nvSpPr>
          <xdr:cNvPr id="3" name="Rectangle 16">
            <a:extLst>
              <a:ext uri="{FF2B5EF4-FFF2-40B4-BE49-F238E27FC236}">
                <a16:creationId xmlns:a16="http://schemas.microsoft.com/office/drawing/2014/main" id="{D20412CF-FA14-3DAC-B711-E610E5FA6058}"/>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17">
            <a:extLst>
              <a:ext uri="{FF2B5EF4-FFF2-40B4-BE49-F238E27FC236}">
                <a16:creationId xmlns:a16="http://schemas.microsoft.com/office/drawing/2014/main" id="{155041FD-BFE7-1A14-F2AF-245B6FCACB5D}"/>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18">
            <a:extLst>
              <a:ext uri="{FF2B5EF4-FFF2-40B4-BE49-F238E27FC236}">
                <a16:creationId xmlns:a16="http://schemas.microsoft.com/office/drawing/2014/main" id="{3C0034D7-7EB2-5A4E-DD1A-72DF861A4D94}"/>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19">
            <a:extLst>
              <a:ext uri="{FF2B5EF4-FFF2-40B4-BE49-F238E27FC236}">
                <a16:creationId xmlns:a16="http://schemas.microsoft.com/office/drawing/2014/main" id="{611DE1E9-7CE3-C98B-211D-64217A1E3D96}"/>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15">
          <a:extLst>
            <a:ext uri="{FF2B5EF4-FFF2-40B4-BE49-F238E27FC236}">
              <a16:creationId xmlns:a16="http://schemas.microsoft.com/office/drawing/2014/main" id="{FFEF96A1-B5B4-48A9-80D7-07652A31F91C}"/>
            </a:ext>
          </a:extLst>
        </xdr:cNvPr>
        <xdr:cNvGrpSpPr>
          <a:grpSpLocks/>
        </xdr:cNvGrpSpPr>
      </xdr:nvGrpSpPr>
      <xdr:grpSpPr bwMode="auto">
        <a:xfrm>
          <a:off x="10220325" y="1447800"/>
          <a:ext cx="485775" cy="647700"/>
          <a:chOff x="672" y="164"/>
          <a:chExt cx="78" cy="68"/>
        </a:xfrm>
      </xdr:grpSpPr>
      <xdr:sp macro="" textlink="">
        <xdr:nvSpPr>
          <xdr:cNvPr id="8" name="Rectangle 16">
            <a:extLst>
              <a:ext uri="{FF2B5EF4-FFF2-40B4-BE49-F238E27FC236}">
                <a16:creationId xmlns:a16="http://schemas.microsoft.com/office/drawing/2014/main" id="{E96EB9C1-2106-BFED-057E-40A24D87BC30}"/>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17">
            <a:extLst>
              <a:ext uri="{FF2B5EF4-FFF2-40B4-BE49-F238E27FC236}">
                <a16:creationId xmlns:a16="http://schemas.microsoft.com/office/drawing/2014/main" id="{621E4C05-D14E-36C7-72A8-5A5AD62825B0}"/>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18">
            <a:extLst>
              <a:ext uri="{FF2B5EF4-FFF2-40B4-BE49-F238E27FC236}">
                <a16:creationId xmlns:a16="http://schemas.microsoft.com/office/drawing/2014/main" id="{87F31BB9-D2EA-341A-5F10-063CD9DF2B27}"/>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9">
            <a:extLst>
              <a:ext uri="{FF2B5EF4-FFF2-40B4-BE49-F238E27FC236}">
                <a16:creationId xmlns:a16="http://schemas.microsoft.com/office/drawing/2014/main" id="{0643C987-E14D-5867-442D-B7D83988B655}"/>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20">
          <a:extLst>
            <a:ext uri="{FF2B5EF4-FFF2-40B4-BE49-F238E27FC236}">
              <a16:creationId xmlns:a16="http://schemas.microsoft.com/office/drawing/2014/main" id="{08C392A3-56F8-4DA9-BC8D-C5F2BEDA38CD}"/>
            </a:ext>
          </a:extLst>
        </xdr:cNvPr>
        <xdr:cNvGrpSpPr>
          <a:grpSpLocks/>
        </xdr:cNvGrpSpPr>
      </xdr:nvGrpSpPr>
      <xdr:grpSpPr bwMode="auto">
        <a:xfrm>
          <a:off x="10220325" y="1390650"/>
          <a:ext cx="485775" cy="647700"/>
          <a:chOff x="672" y="164"/>
          <a:chExt cx="78" cy="68"/>
        </a:xfrm>
      </xdr:grpSpPr>
      <xdr:sp macro="" textlink="">
        <xdr:nvSpPr>
          <xdr:cNvPr id="3" name="Rectangle 21">
            <a:extLst>
              <a:ext uri="{FF2B5EF4-FFF2-40B4-BE49-F238E27FC236}">
                <a16:creationId xmlns:a16="http://schemas.microsoft.com/office/drawing/2014/main" id="{2D9759E3-BD92-7CAC-4DC6-45BE207891BB}"/>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22">
            <a:extLst>
              <a:ext uri="{FF2B5EF4-FFF2-40B4-BE49-F238E27FC236}">
                <a16:creationId xmlns:a16="http://schemas.microsoft.com/office/drawing/2014/main" id="{0EC5E03A-DE5E-6703-5726-146CA619923F}"/>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23">
            <a:extLst>
              <a:ext uri="{FF2B5EF4-FFF2-40B4-BE49-F238E27FC236}">
                <a16:creationId xmlns:a16="http://schemas.microsoft.com/office/drawing/2014/main" id="{57296656-673E-C047-D420-488985A5C5B8}"/>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24">
            <a:extLst>
              <a:ext uri="{FF2B5EF4-FFF2-40B4-BE49-F238E27FC236}">
                <a16:creationId xmlns:a16="http://schemas.microsoft.com/office/drawing/2014/main" id="{2DE6EFA4-2030-86CB-1032-C26BA9AE0DDD}"/>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20">
          <a:extLst>
            <a:ext uri="{FF2B5EF4-FFF2-40B4-BE49-F238E27FC236}">
              <a16:creationId xmlns:a16="http://schemas.microsoft.com/office/drawing/2014/main" id="{95140466-0B9B-47C0-B46C-4DB835CB89CC}"/>
            </a:ext>
          </a:extLst>
        </xdr:cNvPr>
        <xdr:cNvGrpSpPr>
          <a:grpSpLocks/>
        </xdr:cNvGrpSpPr>
      </xdr:nvGrpSpPr>
      <xdr:grpSpPr bwMode="auto">
        <a:xfrm>
          <a:off x="10220325" y="1390650"/>
          <a:ext cx="485775" cy="647700"/>
          <a:chOff x="672" y="164"/>
          <a:chExt cx="78" cy="68"/>
        </a:xfrm>
      </xdr:grpSpPr>
      <xdr:sp macro="" textlink="">
        <xdr:nvSpPr>
          <xdr:cNvPr id="8" name="Rectangle 21">
            <a:extLst>
              <a:ext uri="{FF2B5EF4-FFF2-40B4-BE49-F238E27FC236}">
                <a16:creationId xmlns:a16="http://schemas.microsoft.com/office/drawing/2014/main" id="{EACA4619-7EE2-21D3-B5A0-1CE1FD58E2D4}"/>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22">
            <a:extLst>
              <a:ext uri="{FF2B5EF4-FFF2-40B4-BE49-F238E27FC236}">
                <a16:creationId xmlns:a16="http://schemas.microsoft.com/office/drawing/2014/main" id="{55A2DED5-730B-2404-5966-7F9DDD493037}"/>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23">
            <a:extLst>
              <a:ext uri="{FF2B5EF4-FFF2-40B4-BE49-F238E27FC236}">
                <a16:creationId xmlns:a16="http://schemas.microsoft.com/office/drawing/2014/main" id="{AFE13844-4379-9DD5-4BEC-8FB7AFEDAA8A}"/>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24">
            <a:extLst>
              <a:ext uri="{FF2B5EF4-FFF2-40B4-BE49-F238E27FC236}">
                <a16:creationId xmlns:a16="http://schemas.microsoft.com/office/drawing/2014/main" id="{479F50BB-6868-4980-BB74-0E4BE560E654}"/>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72">
          <a:extLst>
            <a:ext uri="{FF2B5EF4-FFF2-40B4-BE49-F238E27FC236}">
              <a16:creationId xmlns:a16="http://schemas.microsoft.com/office/drawing/2014/main" id="{40BB30E2-A055-4648-A0CE-944C61D7F8E0}"/>
            </a:ext>
          </a:extLst>
        </xdr:cNvPr>
        <xdr:cNvGrpSpPr>
          <a:grpSpLocks/>
        </xdr:cNvGrpSpPr>
      </xdr:nvGrpSpPr>
      <xdr:grpSpPr bwMode="auto">
        <a:xfrm>
          <a:off x="10220325" y="1447800"/>
          <a:ext cx="485775" cy="647700"/>
          <a:chOff x="672" y="164"/>
          <a:chExt cx="78" cy="68"/>
        </a:xfrm>
      </xdr:grpSpPr>
      <xdr:sp macro="" textlink="">
        <xdr:nvSpPr>
          <xdr:cNvPr id="3" name="Rectangle 73">
            <a:extLst>
              <a:ext uri="{FF2B5EF4-FFF2-40B4-BE49-F238E27FC236}">
                <a16:creationId xmlns:a16="http://schemas.microsoft.com/office/drawing/2014/main" id="{A73F1C1E-8884-FEAA-896C-CE5BB96FD571}"/>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74">
            <a:extLst>
              <a:ext uri="{FF2B5EF4-FFF2-40B4-BE49-F238E27FC236}">
                <a16:creationId xmlns:a16="http://schemas.microsoft.com/office/drawing/2014/main" id="{7D51B4AA-0BEF-3439-F838-2DBB1F0E217F}"/>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75">
            <a:extLst>
              <a:ext uri="{FF2B5EF4-FFF2-40B4-BE49-F238E27FC236}">
                <a16:creationId xmlns:a16="http://schemas.microsoft.com/office/drawing/2014/main" id="{35DD26FD-F57D-3884-62F5-F1234F7CA9F0}"/>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76">
            <a:extLst>
              <a:ext uri="{FF2B5EF4-FFF2-40B4-BE49-F238E27FC236}">
                <a16:creationId xmlns:a16="http://schemas.microsoft.com/office/drawing/2014/main" id="{3A3F5517-EFDC-300D-5160-60B1F457E3D7}"/>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72">
          <a:extLst>
            <a:ext uri="{FF2B5EF4-FFF2-40B4-BE49-F238E27FC236}">
              <a16:creationId xmlns:a16="http://schemas.microsoft.com/office/drawing/2014/main" id="{FC6CC48C-86F3-4CBA-BD91-9F397146EBA7}"/>
            </a:ext>
          </a:extLst>
        </xdr:cNvPr>
        <xdr:cNvGrpSpPr>
          <a:grpSpLocks/>
        </xdr:cNvGrpSpPr>
      </xdr:nvGrpSpPr>
      <xdr:grpSpPr bwMode="auto">
        <a:xfrm>
          <a:off x="10220325" y="1447800"/>
          <a:ext cx="485775" cy="647700"/>
          <a:chOff x="672" y="164"/>
          <a:chExt cx="78" cy="68"/>
        </a:xfrm>
      </xdr:grpSpPr>
      <xdr:sp macro="" textlink="">
        <xdr:nvSpPr>
          <xdr:cNvPr id="8" name="Rectangle 73">
            <a:extLst>
              <a:ext uri="{FF2B5EF4-FFF2-40B4-BE49-F238E27FC236}">
                <a16:creationId xmlns:a16="http://schemas.microsoft.com/office/drawing/2014/main" id="{55BE9743-BEC6-AD73-27E9-B440FB547DF8}"/>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74">
            <a:extLst>
              <a:ext uri="{FF2B5EF4-FFF2-40B4-BE49-F238E27FC236}">
                <a16:creationId xmlns:a16="http://schemas.microsoft.com/office/drawing/2014/main" id="{EB734322-47CF-3D37-EEAF-263E4629867D}"/>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75">
            <a:extLst>
              <a:ext uri="{FF2B5EF4-FFF2-40B4-BE49-F238E27FC236}">
                <a16:creationId xmlns:a16="http://schemas.microsoft.com/office/drawing/2014/main" id="{33310C41-3BF1-3C9F-F123-DACF2BE8793A}"/>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76">
            <a:extLst>
              <a:ext uri="{FF2B5EF4-FFF2-40B4-BE49-F238E27FC236}">
                <a16:creationId xmlns:a16="http://schemas.microsoft.com/office/drawing/2014/main" id="{89D21724-5AF4-D580-B8EF-61E64A30B9ED}"/>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114300</xdr:colOff>
      <xdr:row>7</xdr:row>
      <xdr:rowOff>0</xdr:rowOff>
    </xdr:from>
    <xdr:to>
      <xdr:col>11</xdr:col>
      <xdr:colOff>600075</xdr:colOff>
      <xdr:row>11</xdr:row>
      <xdr:rowOff>0</xdr:rowOff>
    </xdr:to>
    <xdr:grpSp>
      <xdr:nvGrpSpPr>
        <xdr:cNvPr id="2" name="Group 72">
          <a:extLst>
            <a:ext uri="{FF2B5EF4-FFF2-40B4-BE49-F238E27FC236}">
              <a16:creationId xmlns:a16="http://schemas.microsoft.com/office/drawing/2014/main" id="{842CDA20-C629-45BF-B5E0-B3E793E112AE}"/>
            </a:ext>
          </a:extLst>
        </xdr:cNvPr>
        <xdr:cNvGrpSpPr>
          <a:grpSpLocks/>
        </xdr:cNvGrpSpPr>
      </xdr:nvGrpSpPr>
      <xdr:grpSpPr bwMode="auto">
        <a:xfrm>
          <a:off x="10220325" y="1447800"/>
          <a:ext cx="485775" cy="647700"/>
          <a:chOff x="672" y="164"/>
          <a:chExt cx="78" cy="68"/>
        </a:xfrm>
      </xdr:grpSpPr>
      <xdr:sp macro="" textlink="">
        <xdr:nvSpPr>
          <xdr:cNvPr id="3" name="Rectangle 73">
            <a:extLst>
              <a:ext uri="{FF2B5EF4-FFF2-40B4-BE49-F238E27FC236}">
                <a16:creationId xmlns:a16="http://schemas.microsoft.com/office/drawing/2014/main" id="{858DA344-7907-15B2-528E-C467533CFB9C}"/>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Rectangle 74">
            <a:extLst>
              <a:ext uri="{FF2B5EF4-FFF2-40B4-BE49-F238E27FC236}">
                <a16:creationId xmlns:a16="http://schemas.microsoft.com/office/drawing/2014/main" id="{5306DA3C-06DC-6465-013F-68C4D4E29B0A}"/>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75">
            <a:extLst>
              <a:ext uri="{FF2B5EF4-FFF2-40B4-BE49-F238E27FC236}">
                <a16:creationId xmlns:a16="http://schemas.microsoft.com/office/drawing/2014/main" id="{62067CA1-FEB7-9A50-7DED-1F697E707F55}"/>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76">
            <a:extLst>
              <a:ext uri="{FF2B5EF4-FFF2-40B4-BE49-F238E27FC236}">
                <a16:creationId xmlns:a16="http://schemas.microsoft.com/office/drawing/2014/main" id="{91269018-B6FF-7C78-9498-E7E989DE31F2}"/>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114300</xdr:colOff>
      <xdr:row>7</xdr:row>
      <xdr:rowOff>0</xdr:rowOff>
    </xdr:from>
    <xdr:to>
      <xdr:col>11</xdr:col>
      <xdr:colOff>600075</xdr:colOff>
      <xdr:row>11</xdr:row>
      <xdr:rowOff>0</xdr:rowOff>
    </xdr:to>
    <xdr:grpSp>
      <xdr:nvGrpSpPr>
        <xdr:cNvPr id="7" name="Group 72">
          <a:extLst>
            <a:ext uri="{FF2B5EF4-FFF2-40B4-BE49-F238E27FC236}">
              <a16:creationId xmlns:a16="http://schemas.microsoft.com/office/drawing/2014/main" id="{B7A56E04-4642-4B45-85EE-CFB9B8F2CE57}"/>
            </a:ext>
          </a:extLst>
        </xdr:cNvPr>
        <xdr:cNvGrpSpPr>
          <a:grpSpLocks/>
        </xdr:cNvGrpSpPr>
      </xdr:nvGrpSpPr>
      <xdr:grpSpPr bwMode="auto">
        <a:xfrm>
          <a:off x="10220325" y="1447800"/>
          <a:ext cx="485775" cy="647700"/>
          <a:chOff x="672" y="164"/>
          <a:chExt cx="78" cy="68"/>
        </a:xfrm>
      </xdr:grpSpPr>
      <xdr:sp macro="" textlink="">
        <xdr:nvSpPr>
          <xdr:cNvPr id="8" name="Rectangle 73">
            <a:extLst>
              <a:ext uri="{FF2B5EF4-FFF2-40B4-BE49-F238E27FC236}">
                <a16:creationId xmlns:a16="http://schemas.microsoft.com/office/drawing/2014/main" id="{8E8BACDB-6200-F1E7-9179-DD1FD4147120}"/>
              </a:ext>
            </a:extLst>
          </xdr:cNvPr>
          <xdr:cNvSpPr>
            <a:spLocks noChangeArrowheads="1"/>
          </xdr:cNvSpPr>
        </xdr:nvSpPr>
        <xdr:spPr bwMode="auto">
          <a:xfrm>
            <a:off x="672" y="164"/>
            <a:ext cx="78" cy="17"/>
          </a:xfrm>
          <a:prstGeom prst="rect">
            <a:avLst/>
          </a:prstGeom>
          <a:solidFill>
            <a:srgbClr xmlns:mc="http://schemas.openxmlformats.org/markup-compatibility/2006" xmlns:a14="http://schemas.microsoft.com/office/drawing/2010/main" val="99CCFF" mc:Ignorable="a14" a14:legacySpreadsheetColorIndex="44"/>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74">
            <a:extLst>
              <a:ext uri="{FF2B5EF4-FFF2-40B4-BE49-F238E27FC236}">
                <a16:creationId xmlns:a16="http://schemas.microsoft.com/office/drawing/2014/main" id="{78B1DD34-EAC0-2F8F-6B25-EB1EAA5C6D3E}"/>
              </a:ext>
            </a:extLst>
          </xdr:cNvPr>
          <xdr:cNvSpPr>
            <a:spLocks noChangeArrowheads="1"/>
          </xdr:cNvSpPr>
        </xdr:nvSpPr>
        <xdr:spPr bwMode="auto">
          <a:xfrm>
            <a:off x="672" y="181"/>
            <a:ext cx="78" cy="17"/>
          </a:xfrm>
          <a:prstGeom prst="rect">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Rectangle 75">
            <a:extLst>
              <a:ext uri="{FF2B5EF4-FFF2-40B4-BE49-F238E27FC236}">
                <a16:creationId xmlns:a16="http://schemas.microsoft.com/office/drawing/2014/main" id="{D298C2DA-C52C-6F6A-DC94-7F8A26DC66F7}"/>
              </a:ext>
            </a:extLst>
          </xdr:cNvPr>
          <xdr:cNvSpPr>
            <a:spLocks noChangeArrowheads="1"/>
          </xdr:cNvSpPr>
        </xdr:nvSpPr>
        <xdr:spPr bwMode="auto">
          <a:xfrm>
            <a:off x="672" y="198"/>
            <a:ext cx="78" cy="17"/>
          </a:xfrm>
          <a:prstGeom prst="rect">
            <a:avLst/>
          </a:prstGeom>
          <a:solidFill>
            <a:srgbClr xmlns:mc="http://schemas.openxmlformats.org/markup-compatibility/2006" xmlns:a14="http://schemas.microsoft.com/office/drawing/2010/main" val="CCFFFF" mc:Ignorable="a14" a14:legacySpreadsheetColorIndex="41"/>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76">
            <a:extLst>
              <a:ext uri="{FF2B5EF4-FFF2-40B4-BE49-F238E27FC236}">
                <a16:creationId xmlns:a16="http://schemas.microsoft.com/office/drawing/2014/main" id="{71FFB802-1809-7ED9-DE80-79A0E304495D}"/>
              </a:ext>
            </a:extLst>
          </xdr:cNvPr>
          <xdr:cNvSpPr>
            <a:spLocks noChangeArrowheads="1"/>
          </xdr:cNvSpPr>
        </xdr:nvSpPr>
        <xdr:spPr bwMode="auto">
          <a:xfrm>
            <a:off x="672" y="215"/>
            <a:ext cx="78" cy="17"/>
          </a:xfrm>
          <a:prstGeom prst="rect">
            <a:avLst/>
          </a:prstGeom>
          <a:solidFill>
            <a:srgbClr xmlns:mc="http://schemas.openxmlformats.org/markup-compatibility/2006" xmlns:a14="http://schemas.microsoft.com/office/drawing/2010/main" val="CC99FF" mc:Ignorable="a14" a14:legacySpreadsheetColorIndex="46"/>
          </a:solidFill>
          <a:ln w="6350">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63BBC-47D7-4793-9B43-3B9F5D46ECB8}">
  <sheetPr codeName="Sheet1"/>
  <dimension ref="A1:BW60"/>
  <sheetViews>
    <sheetView workbookViewId="0"/>
  </sheetViews>
  <sheetFormatPr defaultColWidth="13.85546875" defaultRowHeight="0" customHeight="1" zeroHeight="1" x14ac:dyDescent="0.2"/>
  <cols>
    <col min="1" max="2" width="2.42578125" style="2" customWidth="1"/>
    <col min="3" max="12" width="9.140625" style="2" customWidth="1"/>
    <col min="13" max="13" width="2.42578125" style="2" customWidth="1"/>
    <col min="14" max="14" width="2.28515625" style="2" customWidth="1"/>
    <col min="15" max="15" width="3.140625" style="2" hidden="1" customWidth="1"/>
    <col min="16" max="16" width="2.42578125" style="2" hidden="1" customWidth="1"/>
    <col min="17" max="26" width="9.140625" style="2" hidden="1" customWidth="1"/>
    <col min="27" max="27" width="2.42578125" style="2" hidden="1" customWidth="1"/>
    <col min="28" max="28" width="1.85546875" style="2" hidden="1" customWidth="1"/>
    <col min="29" max="29" width="3.28515625" style="2" hidden="1" customWidth="1"/>
    <col min="30" max="30" width="2.42578125" style="2" hidden="1" customWidth="1"/>
    <col min="31" max="40" width="9.140625" style="2" hidden="1" customWidth="1"/>
    <col min="41" max="41" width="2.42578125" style="2" hidden="1" customWidth="1"/>
    <col min="42" max="42" width="1.85546875" style="2" hidden="1" customWidth="1"/>
    <col min="43" max="43" width="4.140625" style="1" hidden="1" customWidth="1"/>
    <col min="44" max="44" width="2.42578125" style="2" hidden="1" customWidth="1"/>
    <col min="45" max="54" width="9.140625" style="2" hidden="1" customWidth="1"/>
    <col min="55" max="55" width="2.42578125" style="2" hidden="1" customWidth="1"/>
    <col min="56" max="56" width="1.85546875" style="2" hidden="1" customWidth="1"/>
    <col min="57" max="57" width="7" style="1" hidden="1" customWidth="1"/>
    <col min="58" max="58" width="13.85546875" style="34"/>
    <col min="59" max="75" width="13.85546875" style="34" customWidth="1"/>
    <col min="76" max="16384" width="13.85546875" style="2"/>
  </cols>
  <sheetData>
    <row r="1" spans="1:56" ht="12.75" x14ac:dyDescent="0.2">
      <c r="A1" s="1"/>
      <c r="B1" s="1"/>
      <c r="C1" s="1"/>
      <c r="D1" s="1"/>
      <c r="E1" s="1"/>
      <c r="F1" s="1"/>
      <c r="G1" s="1"/>
      <c r="H1" s="1"/>
      <c r="I1" s="1"/>
      <c r="J1" s="1"/>
      <c r="K1" s="1"/>
      <c r="L1" s="1"/>
      <c r="M1" s="1"/>
      <c r="N1" s="1"/>
      <c r="O1" s="1"/>
      <c r="P1" s="1"/>
      <c r="Q1" s="1"/>
      <c r="R1" s="1"/>
      <c r="S1" s="1"/>
      <c r="T1" s="1"/>
      <c r="U1" s="1"/>
      <c r="V1" s="1"/>
      <c r="W1" s="1"/>
      <c r="X1" s="1"/>
      <c r="Y1" s="1"/>
      <c r="Z1" s="1"/>
      <c r="AA1" s="1"/>
      <c r="AB1" s="1"/>
      <c r="AD1" s="1"/>
      <c r="AE1" s="1"/>
      <c r="AF1" s="1"/>
      <c r="AG1" s="1"/>
      <c r="AH1" s="1"/>
      <c r="AI1" s="1"/>
      <c r="AJ1" s="1"/>
      <c r="AK1" s="1"/>
      <c r="AL1" s="1"/>
      <c r="AM1" s="1"/>
      <c r="AN1" s="1"/>
      <c r="AO1" s="1"/>
      <c r="AP1" s="1"/>
      <c r="AR1" s="1"/>
      <c r="AS1" s="1"/>
      <c r="AT1" s="1"/>
      <c r="AU1" s="1"/>
      <c r="AV1" s="1"/>
      <c r="AW1" s="1"/>
      <c r="AX1" s="1"/>
      <c r="AY1" s="1"/>
      <c r="AZ1" s="1"/>
      <c r="BA1" s="1"/>
      <c r="BB1" s="1"/>
      <c r="BC1" s="1"/>
      <c r="BD1" s="1"/>
    </row>
    <row r="2" spans="1:56" ht="12.75" x14ac:dyDescent="0.2">
      <c r="A2" s="1"/>
      <c r="B2" s="3"/>
      <c r="C2" s="4"/>
      <c r="D2" s="4"/>
      <c r="E2" s="4"/>
      <c r="F2" s="4"/>
      <c r="G2" s="4"/>
      <c r="H2" s="4"/>
      <c r="I2" s="4"/>
      <c r="J2" s="4"/>
      <c r="K2" s="4"/>
      <c r="L2" s="4"/>
      <c r="M2" s="5"/>
      <c r="N2" s="1"/>
      <c r="O2" s="1"/>
      <c r="P2" s="3"/>
      <c r="Q2" s="4"/>
      <c r="R2" s="4"/>
      <c r="S2" s="4"/>
      <c r="T2" s="4"/>
      <c r="U2" s="4"/>
      <c r="V2" s="4"/>
      <c r="W2" s="4"/>
      <c r="X2" s="4"/>
      <c r="Y2" s="4"/>
      <c r="Z2" s="4"/>
      <c r="AA2" s="5"/>
      <c r="AB2" s="1"/>
      <c r="AD2" s="3"/>
      <c r="AE2" s="4"/>
      <c r="AF2" s="4"/>
      <c r="AG2" s="4"/>
      <c r="AH2" s="4"/>
      <c r="AI2" s="4"/>
      <c r="AJ2" s="4"/>
      <c r="AK2" s="4"/>
      <c r="AL2" s="4"/>
      <c r="AM2" s="4"/>
      <c r="AN2" s="4"/>
      <c r="AO2" s="5"/>
      <c r="AP2" s="1"/>
      <c r="AR2" s="3"/>
      <c r="AS2" s="4"/>
      <c r="AT2" s="4"/>
      <c r="AU2" s="4"/>
      <c r="AV2" s="4"/>
      <c r="AW2" s="4"/>
      <c r="AX2" s="4"/>
      <c r="AY2" s="4"/>
      <c r="AZ2" s="4"/>
      <c r="BA2" s="4"/>
      <c r="BB2" s="4"/>
      <c r="BC2" s="5"/>
      <c r="BD2" s="1"/>
    </row>
    <row r="3" spans="1:56" ht="22.5" x14ac:dyDescent="0.45">
      <c r="A3" s="1"/>
      <c r="B3" s="6"/>
      <c r="C3" s="524" t="s">
        <v>0</v>
      </c>
      <c r="D3" s="524"/>
      <c r="E3" s="524"/>
      <c r="F3" s="524"/>
      <c r="G3" s="524"/>
      <c r="H3" s="524"/>
      <c r="I3" s="524"/>
      <c r="J3" s="524"/>
      <c r="K3" s="524"/>
      <c r="L3" s="524"/>
      <c r="M3" s="7"/>
      <c r="N3" s="8"/>
      <c r="O3" s="1"/>
      <c r="P3" s="6"/>
      <c r="Q3" s="525"/>
      <c r="R3" s="525"/>
      <c r="S3" s="525"/>
      <c r="T3" s="525"/>
      <c r="U3" s="525"/>
      <c r="V3" s="525"/>
      <c r="W3" s="525"/>
      <c r="X3" s="525"/>
      <c r="Y3" s="525"/>
      <c r="Z3" s="525"/>
      <c r="AA3" s="7"/>
      <c r="AB3" s="8"/>
      <c r="AD3" s="6"/>
      <c r="AE3" s="525"/>
      <c r="AF3" s="525"/>
      <c r="AG3" s="525"/>
      <c r="AH3" s="525"/>
      <c r="AI3" s="525"/>
      <c r="AJ3" s="525"/>
      <c r="AK3" s="525"/>
      <c r="AL3" s="525"/>
      <c r="AM3" s="525"/>
      <c r="AN3" s="525"/>
      <c r="AO3" s="7"/>
      <c r="AP3" s="8"/>
      <c r="AR3" s="6"/>
      <c r="AS3" s="525"/>
      <c r="AT3" s="525"/>
      <c r="AU3" s="525"/>
      <c r="AV3" s="525"/>
      <c r="AW3" s="525"/>
      <c r="AX3" s="525"/>
      <c r="AY3" s="525"/>
      <c r="AZ3" s="525"/>
      <c r="BA3" s="525"/>
      <c r="BB3" s="525"/>
      <c r="BC3" s="7"/>
      <c r="BD3" s="8"/>
    </row>
    <row r="4" spans="1:56" ht="12.75" x14ac:dyDescent="0.2">
      <c r="A4" s="1"/>
      <c r="B4" s="6"/>
      <c r="C4" s="1"/>
      <c r="D4" s="1"/>
      <c r="E4" s="1"/>
      <c r="F4" s="1"/>
      <c r="G4" s="1"/>
      <c r="H4" s="1"/>
      <c r="I4" s="1"/>
      <c r="J4" s="1"/>
      <c r="K4" s="1"/>
      <c r="L4" s="1"/>
      <c r="M4" s="7"/>
      <c r="N4" s="8"/>
      <c r="O4" s="1"/>
      <c r="P4" s="6"/>
      <c r="Q4" s="1"/>
      <c r="R4" s="1"/>
      <c r="S4" s="1"/>
      <c r="T4" s="1"/>
      <c r="U4" s="1"/>
      <c r="V4" s="1"/>
      <c r="W4" s="1"/>
      <c r="X4" s="1"/>
      <c r="Y4" s="1"/>
      <c r="Z4" s="1"/>
      <c r="AA4" s="7"/>
      <c r="AB4" s="8"/>
      <c r="AD4" s="6"/>
      <c r="AE4" s="1"/>
      <c r="AF4" s="1"/>
      <c r="AG4" s="1"/>
      <c r="AH4" s="1"/>
      <c r="AI4" s="1"/>
      <c r="AJ4" s="1"/>
      <c r="AK4" s="1"/>
      <c r="AL4" s="1"/>
      <c r="AM4" s="1"/>
      <c r="AN4" s="1"/>
      <c r="AO4" s="7"/>
      <c r="AP4" s="8"/>
      <c r="AR4" s="6"/>
      <c r="AS4" s="1"/>
      <c r="AT4" s="1"/>
      <c r="AU4" s="1"/>
      <c r="AV4" s="1"/>
      <c r="AW4" s="1"/>
      <c r="AX4" s="1"/>
      <c r="AY4" s="1"/>
      <c r="AZ4" s="1"/>
      <c r="BA4" s="1"/>
      <c r="BB4" s="1"/>
      <c r="BC4" s="7"/>
      <c r="BD4" s="8"/>
    </row>
    <row r="5" spans="1:56" ht="12.75" x14ac:dyDescent="0.2">
      <c r="A5" s="1"/>
      <c r="B5" s="6"/>
      <c r="C5" s="1"/>
      <c r="D5" s="1"/>
      <c r="E5" s="1"/>
      <c r="F5" s="1"/>
      <c r="G5" s="1"/>
      <c r="H5" s="1"/>
      <c r="I5" s="1"/>
      <c r="J5" s="1"/>
      <c r="K5" s="1"/>
      <c r="L5" s="1"/>
      <c r="M5" s="7"/>
      <c r="N5" s="8"/>
      <c r="O5" s="1"/>
      <c r="P5" s="6"/>
      <c r="Q5" s="1"/>
      <c r="R5" s="1"/>
      <c r="S5" s="1"/>
      <c r="T5" s="1"/>
      <c r="U5" s="1"/>
      <c r="V5" s="1"/>
      <c r="W5" s="1"/>
      <c r="X5" s="1"/>
      <c r="Y5" s="1"/>
      <c r="Z5" s="1"/>
      <c r="AA5" s="7"/>
      <c r="AB5" s="8"/>
      <c r="AD5" s="6"/>
      <c r="AE5" s="1"/>
      <c r="AF5" s="1"/>
      <c r="AG5" s="1"/>
      <c r="AH5" s="1"/>
      <c r="AI5" s="1"/>
      <c r="AJ5" s="1"/>
      <c r="AK5" s="1"/>
      <c r="AL5" s="1"/>
      <c r="AM5" s="1"/>
      <c r="AN5" s="1"/>
      <c r="AO5" s="7"/>
      <c r="AP5" s="8"/>
      <c r="AR5" s="6"/>
      <c r="AS5" s="1"/>
      <c r="AT5" s="1"/>
      <c r="AU5" s="1"/>
      <c r="AV5" s="1"/>
      <c r="AW5" s="1"/>
      <c r="AX5" s="1"/>
      <c r="AY5" s="1"/>
      <c r="AZ5" s="1"/>
      <c r="BA5" s="1"/>
      <c r="BB5" s="1"/>
      <c r="BC5" s="7"/>
      <c r="BD5" s="8"/>
    </row>
    <row r="6" spans="1:56" ht="12.75" x14ac:dyDescent="0.2">
      <c r="A6" s="1"/>
      <c r="B6" s="6"/>
      <c r="C6" s="1"/>
      <c r="D6" s="1"/>
      <c r="E6" s="1"/>
      <c r="F6" s="1"/>
      <c r="G6" s="1"/>
      <c r="H6" s="1"/>
      <c r="I6" s="1"/>
      <c r="J6" s="1"/>
      <c r="K6" s="1"/>
      <c r="L6" s="1"/>
      <c r="M6" s="7"/>
      <c r="N6" s="8"/>
      <c r="O6" s="1"/>
      <c r="P6" s="6"/>
      <c r="Q6" s="1"/>
      <c r="R6" s="1"/>
      <c r="S6" s="1"/>
      <c r="T6" s="1"/>
      <c r="U6" s="1"/>
      <c r="V6" s="1"/>
      <c r="W6" s="1"/>
      <c r="X6" s="1"/>
      <c r="Y6" s="1"/>
      <c r="Z6" s="1"/>
      <c r="AA6" s="7"/>
      <c r="AB6" s="8"/>
      <c r="AD6" s="6"/>
      <c r="AE6" s="1"/>
      <c r="AF6" s="1"/>
      <c r="AG6" s="1"/>
      <c r="AH6" s="1"/>
      <c r="AI6" s="1"/>
      <c r="AJ6" s="1"/>
      <c r="AK6" s="1"/>
      <c r="AL6" s="1"/>
      <c r="AM6" s="1"/>
      <c r="AN6" s="1"/>
      <c r="AO6" s="7"/>
      <c r="AP6" s="8"/>
      <c r="AR6" s="6"/>
      <c r="AS6" s="1"/>
      <c r="AT6" s="1"/>
      <c r="AU6" s="1"/>
      <c r="AV6" s="1"/>
      <c r="AW6" s="1"/>
      <c r="AX6" s="1"/>
      <c r="AY6" s="1"/>
      <c r="AZ6" s="1"/>
      <c r="BA6" s="1"/>
      <c r="BB6" s="1"/>
      <c r="BC6" s="7"/>
      <c r="BD6" s="8"/>
    </row>
    <row r="7" spans="1:56" ht="12.75" x14ac:dyDescent="0.2">
      <c r="A7" s="1"/>
      <c r="B7" s="6"/>
      <c r="C7" s="1"/>
      <c r="D7" s="1"/>
      <c r="E7" s="1"/>
      <c r="F7" s="1"/>
      <c r="G7" s="1"/>
      <c r="H7" s="1"/>
      <c r="I7" s="1"/>
      <c r="J7" s="1"/>
      <c r="K7" s="1"/>
      <c r="L7" s="1"/>
      <c r="M7" s="7"/>
      <c r="N7" s="8"/>
      <c r="O7" s="1"/>
      <c r="P7" s="6"/>
      <c r="Q7" s="1"/>
      <c r="R7" s="1"/>
      <c r="S7" s="1"/>
      <c r="T7" s="1"/>
      <c r="U7" s="1"/>
      <c r="V7" s="1"/>
      <c r="W7" s="1"/>
      <c r="X7" s="1"/>
      <c r="Y7" s="1"/>
      <c r="Z7" s="1"/>
      <c r="AA7" s="7"/>
      <c r="AB7" s="8"/>
      <c r="AD7" s="6"/>
      <c r="AE7" s="1"/>
      <c r="AF7" s="1"/>
      <c r="AG7" s="1"/>
      <c r="AH7" s="1"/>
      <c r="AI7" s="1"/>
      <c r="AJ7" s="1"/>
      <c r="AK7" s="1"/>
      <c r="AL7" s="1"/>
      <c r="AM7" s="1"/>
      <c r="AN7" s="1"/>
      <c r="AO7" s="7"/>
      <c r="AP7" s="8"/>
      <c r="AR7" s="6"/>
      <c r="AS7" s="1"/>
      <c r="AT7" s="1"/>
      <c r="AU7" s="1"/>
      <c r="AV7" s="1"/>
      <c r="AW7" s="1"/>
      <c r="AX7" s="1"/>
      <c r="AY7" s="1"/>
      <c r="AZ7" s="1"/>
      <c r="BA7" s="1"/>
      <c r="BB7" s="1"/>
      <c r="BC7" s="7"/>
      <c r="BD7" s="8"/>
    </row>
    <row r="8" spans="1:56" ht="12.75" x14ac:dyDescent="0.2">
      <c r="A8" s="1"/>
      <c r="B8" s="6"/>
      <c r="C8" s="9"/>
      <c r="D8" s="1"/>
      <c r="E8" s="10"/>
      <c r="F8" s="10"/>
      <c r="G8" s="10"/>
      <c r="H8" s="10"/>
      <c r="I8" s="10"/>
      <c r="J8" s="10"/>
      <c r="K8" s="10"/>
      <c r="L8" s="10"/>
      <c r="M8" s="7"/>
      <c r="N8" s="8"/>
      <c r="O8" s="1"/>
      <c r="P8" s="6"/>
      <c r="Q8" s="9"/>
      <c r="R8" s="1"/>
      <c r="S8" s="514"/>
      <c r="T8" s="514"/>
      <c r="U8" s="514"/>
      <c r="V8" s="514"/>
      <c r="W8" s="514"/>
      <c r="X8" s="514"/>
      <c r="Y8" s="514"/>
      <c r="Z8" s="514"/>
      <c r="AA8" s="7"/>
      <c r="AB8" s="8"/>
      <c r="AD8" s="6"/>
      <c r="AE8" s="9"/>
      <c r="AF8" s="1"/>
      <c r="AG8" s="514"/>
      <c r="AH8" s="514"/>
      <c r="AI8" s="514"/>
      <c r="AJ8" s="514"/>
      <c r="AK8" s="514"/>
      <c r="AL8" s="514"/>
      <c r="AM8" s="514"/>
      <c r="AN8" s="514"/>
      <c r="AO8" s="7"/>
      <c r="AP8" s="8"/>
      <c r="AR8" s="6"/>
      <c r="AS8" s="9"/>
      <c r="AT8" s="1"/>
      <c r="AU8" s="514"/>
      <c r="AV8" s="514"/>
      <c r="AW8" s="514"/>
      <c r="AX8" s="514"/>
      <c r="AY8" s="514"/>
      <c r="AZ8" s="514"/>
      <c r="BA8" s="514"/>
      <c r="BB8" s="514"/>
      <c r="BC8" s="7"/>
      <c r="BD8" s="8"/>
    </row>
    <row r="9" spans="1:56" ht="12.75" x14ac:dyDescent="0.2">
      <c r="A9" s="1"/>
      <c r="B9" s="6"/>
      <c r="C9" s="9"/>
      <c r="D9" s="1"/>
      <c r="E9" s="1"/>
      <c r="F9" s="1"/>
      <c r="G9" s="1"/>
      <c r="H9" s="1"/>
      <c r="I9" s="1"/>
      <c r="J9" s="1"/>
      <c r="K9" s="1"/>
      <c r="L9" s="1"/>
      <c r="M9" s="7"/>
      <c r="N9" s="8"/>
      <c r="O9" s="1"/>
      <c r="P9" s="6"/>
      <c r="Q9" s="9"/>
      <c r="R9" s="1"/>
      <c r="S9" s="1"/>
      <c r="T9" s="1"/>
      <c r="U9" s="1"/>
      <c r="V9" s="1"/>
      <c r="W9" s="1"/>
      <c r="X9" s="1"/>
      <c r="Y9" s="1"/>
      <c r="Z9" s="1"/>
      <c r="AA9" s="7"/>
      <c r="AB9" s="8"/>
      <c r="AD9" s="6"/>
      <c r="AE9" s="9"/>
      <c r="AF9" s="1"/>
      <c r="AG9" s="1"/>
      <c r="AH9" s="1"/>
      <c r="AI9" s="1"/>
      <c r="AJ9" s="1"/>
      <c r="AK9" s="1"/>
      <c r="AL9" s="1"/>
      <c r="AM9" s="1"/>
      <c r="AN9" s="1"/>
      <c r="AO9" s="7"/>
      <c r="AP9" s="8"/>
      <c r="AR9" s="6"/>
      <c r="AS9" s="9"/>
      <c r="AT9" s="1"/>
      <c r="AU9" s="1"/>
      <c r="AV9" s="1"/>
      <c r="AW9" s="1"/>
      <c r="AX9" s="1"/>
      <c r="AY9" s="1"/>
      <c r="AZ9" s="1"/>
      <c r="BA9" s="1"/>
      <c r="BB9" s="1"/>
      <c r="BC9" s="7"/>
      <c r="BD9" s="8"/>
    </row>
    <row r="10" spans="1:56" ht="12.75" x14ac:dyDescent="0.2">
      <c r="A10" s="1"/>
      <c r="B10" s="6"/>
      <c r="C10" s="9"/>
      <c r="D10" s="1"/>
      <c r="E10" s="10"/>
      <c r="F10" s="10"/>
      <c r="G10" s="10"/>
      <c r="H10" s="10"/>
      <c r="I10" s="10"/>
      <c r="J10" s="10"/>
      <c r="K10" s="10"/>
      <c r="L10" s="10"/>
      <c r="M10" s="7"/>
      <c r="N10" s="8"/>
      <c r="O10" s="1"/>
      <c r="P10" s="6"/>
      <c r="Q10" s="9"/>
      <c r="R10" s="1"/>
      <c r="S10" s="514"/>
      <c r="T10" s="514"/>
      <c r="U10" s="514"/>
      <c r="V10" s="514"/>
      <c r="W10" s="514"/>
      <c r="X10" s="514"/>
      <c r="Y10" s="514"/>
      <c r="Z10" s="514"/>
      <c r="AA10" s="7"/>
      <c r="AB10" s="8"/>
      <c r="AD10" s="6"/>
      <c r="AE10" s="9"/>
      <c r="AF10" s="1"/>
      <c r="AG10" s="514"/>
      <c r="AH10" s="514"/>
      <c r="AI10" s="514"/>
      <c r="AJ10" s="514"/>
      <c r="AK10" s="514"/>
      <c r="AL10" s="514"/>
      <c r="AM10" s="514"/>
      <c r="AN10" s="514"/>
      <c r="AO10" s="7"/>
      <c r="AP10" s="8"/>
      <c r="AR10" s="6"/>
      <c r="AS10" s="9"/>
      <c r="AT10" s="1"/>
      <c r="AU10" s="514"/>
      <c r="AV10" s="514"/>
      <c r="AW10" s="514"/>
      <c r="AX10" s="514"/>
      <c r="AY10" s="514"/>
      <c r="AZ10" s="514"/>
      <c r="BA10" s="514"/>
      <c r="BB10" s="514"/>
      <c r="BC10" s="7"/>
      <c r="BD10" s="8"/>
    </row>
    <row r="11" spans="1:56" ht="12.75" x14ac:dyDescent="0.2">
      <c r="A11" s="1"/>
      <c r="B11" s="6"/>
      <c r="C11" s="9"/>
      <c r="D11" s="1"/>
      <c r="E11" s="1"/>
      <c r="F11" s="1"/>
      <c r="G11" s="1"/>
      <c r="H11" s="1"/>
      <c r="I11" s="1"/>
      <c r="J11" s="1"/>
      <c r="K11" s="1"/>
      <c r="L11" s="1"/>
      <c r="M11" s="7"/>
      <c r="N11" s="8"/>
      <c r="O11" s="1"/>
      <c r="P11" s="6"/>
      <c r="Q11" s="9"/>
      <c r="R11" s="1"/>
      <c r="S11" s="1"/>
      <c r="T11" s="1"/>
      <c r="U11" s="1"/>
      <c r="V11" s="1"/>
      <c r="W11" s="1"/>
      <c r="X11" s="1"/>
      <c r="Y11" s="1"/>
      <c r="Z11" s="1"/>
      <c r="AA11" s="7"/>
      <c r="AB11" s="8"/>
      <c r="AD11" s="6"/>
      <c r="AE11" s="9"/>
      <c r="AF11" s="1"/>
      <c r="AG11" s="1"/>
      <c r="AH11" s="1"/>
      <c r="AI11" s="1"/>
      <c r="AJ11" s="1"/>
      <c r="AK11" s="1"/>
      <c r="AL11" s="1"/>
      <c r="AM11" s="1"/>
      <c r="AN11" s="1"/>
      <c r="AO11" s="7"/>
      <c r="AP11" s="8"/>
      <c r="AR11" s="6"/>
      <c r="AS11" s="9"/>
      <c r="AT11" s="1"/>
      <c r="AU11" s="1"/>
      <c r="AV11" s="1"/>
      <c r="AW11" s="1"/>
      <c r="AX11" s="1"/>
      <c r="AY11" s="1"/>
      <c r="AZ11" s="1"/>
      <c r="BA11" s="1"/>
      <c r="BB11" s="1"/>
      <c r="BC11" s="7"/>
      <c r="BD11" s="8"/>
    </row>
    <row r="12" spans="1:56" ht="12.75" x14ac:dyDescent="0.2">
      <c r="A12" s="1"/>
      <c r="B12" s="6"/>
      <c r="C12" s="9"/>
      <c r="D12" s="1"/>
      <c r="E12" s="10"/>
      <c r="F12" s="10"/>
      <c r="G12" s="10"/>
      <c r="H12" s="10"/>
      <c r="I12" s="10"/>
      <c r="J12" s="10"/>
      <c r="K12" s="10"/>
      <c r="L12" s="10"/>
      <c r="M12" s="7"/>
      <c r="N12" s="8"/>
      <c r="O12" s="1"/>
      <c r="P12" s="6"/>
      <c r="Q12" s="9"/>
      <c r="R12" s="1"/>
      <c r="S12" s="514"/>
      <c r="T12" s="514"/>
      <c r="U12" s="514"/>
      <c r="V12" s="514"/>
      <c r="W12" s="514"/>
      <c r="X12" s="514"/>
      <c r="Y12" s="514"/>
      <c r="Z12" s="514"/>
      <c r="AA12" s="7"/>
      <c r="AB12" s="8"/>
      <c r="AD12" s="6"/>
      <c r="AE12" s="9"/>
      <c r="AF12" s="1"/>
      <c r="AG12" s="514"/>
      <c r="AH12" s="514"/>
      <c r="AI12" s="514"/>
      <c r="AJ12" s="514"/>
      <c r="AK12" s="514"/>
      <c r="AL12" s="514"/>
      <c r="AM12" s="514"/>
      <c r="AN12" s="514"/>
      <c r="AO12" s="7"/>
      <c r="AP12" s="8"/>
      <c r="AR12" s="6"/>
      <c r="AS12" s="9"/>
      <c r="AT12" s="1"/>
      <c r="AU12" s="514"/>
      <c r="AV12" s="514"/>
      <c r="AW12" s="514"/>
      <c r="AX12" s="514"/>
      <c r="AY12" s="514"/>
      <c r="AZ12" s="514"/>
      <c r="BA12" s="514"/>
      <c r="BB12" s="514"/>
      <c r="BC12" s="7"/>
      <c r="BD12" s="8"/>
    </row>
    <row r="13" spans="1:56" ht="12.75" x14ac:dyDescent="0.2">
      <c r="A13" s="1"/>
      <c r="B13" s="6"/>
      <c r="C13" s="9"/>
      <c r="D13" s="1"/>
      <c r="E13" s="1"/>
      <c r="F13" s="1"/>
      <c r="G13" s="1"/>
      <c r="H13" s="1"/>
      <c r="I13" s="1"/>
      <c r="J13" s="1"/>
      <c r="K13" s="1"/>
      <c r="L13" s="1"/>
      <c r="M13" s="7"/>
      <c r="N13" s="8"/>
      <c r="O13" s="1"/>
      <c r="P13" s="6"/>
      <c r="Q13" s="9"/>
      <c r="R13" s="1"/>
      <c r="S13" s="1"/>
      <c r="T13" s="1"/>
      <c r="U13" s="1"/>
      <c r="V13" s="1"/>
      <c r="W13" s="1"/>
      <c r="X13" s="1"/>
      <c r="Y13" s="1"/>
      <c r="Z13" s="1"/>
      <c r="AA13" s="7"/>
      <c r="AB13" s="8"/>
      <c r="AD13" s="6"/>
      <c r="AE13" s="9"/>
      <c r="AF13" s="1"/>
      <c r="AG13" s="1"/>
      <c r="AH13" s="1"/>
      <c r="AI13" s="1"/>
      <c r="AJ13" s="1"/>
      <c r="AK13" s="1"/>
      <c r="AL13" s="1"/>
      <c r="AM13" s="1"/>
      <c r="AN13" s="1"/>
      <c r="AO13" s="7"/>
      <c r="AP13" s="8"/>
      <c r="AR13" s="6"/>
      <c r="AS13" s="9"/>
      <c r="AT13" s="1"/>
      <c r="AU13" s="1"/>
      <c r="AV13" s="1"/>
      <c r="AW13" s="1"/>
      <c r="AX13" s="1"/>
      <c r="AY13" s="1"/>
      <c r="AZ13" s="1"/>
      <c r="BA13" s="1"/>
      <c r="BB13" s="1"/>
      <c r="BC13" s="7"/>
      <c r="BD13" s="8"/>
    </row>
    <row r="14" spans="1:56" ht="12.75" x14ac:dyDescent="0.2">
      <c r="A14" s="1"/>
      <c r="B14" s="6"/>
      <c r="C14" s="9"/>
      <c r="D14" s="1"/>
      <c r="E14" s="10"/>
      <c r="F14" s="10"/>
      <c r="G14" s="10"/>
      <c r="H14" s="10"/>
      <c r="I14" s="10"/>
      <c r="J14" s="10"/>
      <c r="K14" s="10"/>
      <c r="L14" s="10"/>
      <c r="M14" s="7"/>
      <c r="N14" s="8"/>
      <c r="O14" s="1"/>
      <c r="P14" s="6"/>
      <c r="Q14" s="9"/>
      <c r="R14" s="1"/>
      <c r="S14" s="514"/>
      <c r="T14" s="514"/>
      <c r="U14" s="514"/>
      <c r="V14" s="514"/>
      <c r="W14" s="514"/>
      <c r="X14" s="514"/>
      <c r="Y14" s="514"/>
      <c r="Z14" s="514"/>
      <c r="AA14" s="7"/>
      <c r="AB14" s="8"/>
      <c r="AD14" s="6"/>
      <c r="AE14" s="9"/>
      <c r="AF14" s="1"/>
      <c r="AG14" s="514"/>
      <c r="AH14" s="514"/>
      <c r="AI14" s="514"/>
      <c r="AJ14" s="514"/>
      <c r="AK14" s="514"/>
      <c r="AL14" s="514"/>
      <c r="AM14" s="514"/>
      <c r="AN14" s="514"/>
      <c r="AO14" s="7"/>
      <c r="AP14" s="8"/>
      <c r="AR14" s="6"/>
      <c r="AS14" s="9"/>
      <c r="AT14" s="1"/>
      <c r="AU14" s="514"/>
      <c r="AV14" s="514"/>
      <c r="AW14" s="514"/>
      <c r="AX14" s="514"/>
      <c r="AY14" s="514"/>
      <c r="AZ14" s="514"/>
      <c r="BA14" s="514"/>
      <c r="BB14" s="514"/>
      <c r="BC14" s="7"/>
      <c r="BD14" s="8"/>
    </row>
    <row r="15" spans="1:56" ht="12.75" x14ac:dyDescent="0.2">
      <c r="A15" s="1"/>
      <c r="B15" s="6"/>
      <c r="C15" s="9"/>
      <c r="D15" s="1"/>
      <c r="E15" s="1"/>
      <c r="F15" s="1"/>
      <c r="G15" s="1"/>
      <c r="H15" s="1"/>
      <c r="I15" s="1"/>
      <c r="J15" s="1"/>
      <c r="K15" s="1"/>
      <c r="L15" s="1"/>
      <c r="M15" s="7"/>
      <c r="N15" s="8"/>
      <c r="O15" s="1"/>
      <c r="P15" s="6"/>
      <c r="Q15" s="9"/>
      <c r="R15" s="1"/>
      <c r="S15" s="1"/>
      <c r="T15" s="1"/>
      <c r="U15" s="1"/>
      <c r="V15" s="1"/>
      <c r="W15" s="1"/>
      <c r="X15" s="1"/>
      <c r="Y15" s="1"/>
      <c r="Z15" s="1"/>
      <c r="AA15" s="7"/>
      <c r="AB15" s="8"/>
      <c r="AD15" s="6"/>
      <c r="AE15" s="9"/>
      <c r="AF15" s="1"/>
      <c r="AG15" s="1"/>
      <c r="AH15" s="1"/>
      <c r="AI15" s="1"/>
      <c r="AJ15" s="1"/>
      <c r="AK15" s="1"/>
      <c r="AL15" s="1"/>
      <c r="AM15" s="1"/>
      <c r="AN15" s="1"/>
      <c r="AO15" s="7"/>
      <c r="AP15" s="8"/>
      <c r="AR15" s="6"/>
      <c r="AS15" s="9"/>
      <c r="AT15" s="1"/>
      <c r="AU15" s="1"/>
      <c r="AV15" s="1"/>
      <c r="AW15" s="1"/>
      <c r="AX15" s="1"/>
      <c r="AY15" s="1"/>
      <c r="AZ15" s="1"/>
      <c r="BA15" s="1"/>
      <c r="BB15" s="1"/>
      <c r="BC15" s="7"/>
      <c r="BD15" s="8"/>
    </row>
    <row r="16" spans="1:56" ht="12.75" x14ac:dyDescent="0.2">
      <c r="A16" s="1"/>
      <c r="B16" s="6"/>
      <c r="C16" s="9"/>
      <c r="D16" s="1"/>
      <c r="E16" s="11"/>
      <c r="F16" s="12"/>
      <c r="G16" s="9"/>
      <c r="H16" s="1"/>
      <c r="I16" s="1"/>
      <c r="J16" s="1"/>
      <c r="K16" s="13"/>
      <c r="L16" s="1"/>
      <c r="M16" s="7"/>
      <c r="N16" s="8"/>
      <c r="O16" s="1"/>
      <c r="P16" s="6"/>
      <c r="Q16" s="9"/>
      <c r="R16" s="1"/>
      <c r="S16" s="523"/>
      <c r="T16" s="523"/>
      <c r="U16" s="522"/>
      <c r="V16" s="522"/>
      <c r="W16" s="522"/>
      <c r="X16" s="522"/>
      <c r="Y16" s="520"/>
      <c r="Z16" s="520"/>
      <c r="AA16" s="7"/>
      <c r="AB16" s="8"/>
      <c r="AD16" s="6"/>
      <c r="AE16" s="9"/>
      <c r="AF16" s="1"/>
      <c r="AG16" s="523"/>
      <c r="AH16" s="523"/>
      <c r="AI16" s="522"/>
      <c r="AJ16" s="522"/>
      <c r="AK16" s="522"/>
      <c r="AL16" s="522"/>
      <c r="AM16" s="520"/>
      <c r="AN16" s="520"/>
      <c r="AO16" s="7"/>
      <c r="AP16" s="8"/>
      <c r="AR16" s="6"/>
      <c r="AS16" s="9"/>
      <c r="AT16" s="1"/>
      <c r="AU16" s="523"/>
      <c r="AV16" s="523"/>
      <c r="AW16" s="522"/>
      <c r="AX16" s="522"/>
      <c r="AY16" s="522"/>
      <c r="AZ16" s="522"/>
      <c r="BA16" s="520"/>
      <c r="BB16" s="520"/>
      <c r="BC16" s="7"/>
      <c r="BD16" s="8"/>
    </row>
    <row r="17" spans="1:56" ht="12.75" x14ac:dyDescent="0.2">
      <c r="A17" s="1"/>
      <c r="B17" s="6"/>
      <c r="C17" s="9"/>
      <c r="D17" s="1"/>
      <c r="E17" s="1"/>
      <c r="F17" s="1"/>
      <c r="G17" s="1"/>
      <c r="H17" s="1"/>
      <c r="I17" s="1"/>
      <c r="J17" s="1"/>
      <c r="K17" s="1"/>
      <c r="L17" s="1"/>
      <c r="M17" s="7"/>
      <c r="N17" s="8"/>
      <c r="O17" s="1"/>
      <c r="P17" s="6"/>
      <c r="Q17" s="9"/>
      <c r="R17" s="1"/>
      <c r="S17" s="1"/>
      <c r="T17" s="1"/>
      <c r="U17" s="1"/>
      <c r="V17" s="1"/>
      <c r="W17" s="1"/>
      <c r="X17" s="1"/>
      <c r="Y17" s="1"/>
      <c r="Z17" s="1"/>
      <c r="AA17" s="7"/>
      <c r="AB17" s="8"/>
      <c r="AD17" s="6"/>
      <c r="AE17" s="9"/>
      <c r="AF17" s="1"/>
      <c r="AG17" s="1"/>
      <c r="AH17" s="1"/>
      <c r="AI17" s="1"/>
      <c r="AJ17" s="1"/>
      <c r="AK17" s="1"/>
      <c r="AL17" s="1"/>
      <c r="AM17" s="1"/>
      <c r="AN17" s="1"/>
      <c r="AO17" s="7"/>
      <c r="AP17" s="8"/>
      <c r="AR17" s="6"/>
      <c r="AS17" s="9"/>
      <c r="AT17" s="1"/>
      <c r="AU17" s="1"/>
      <c r="AV17" s="1"/>
      <c r="AW17" s="1"/>
      <c r="AX17" s="1"/>
      <c r="AY17" s="1"/>
      <c r="AZ17" s="1"/>
      <c r="BA17" s="1"/>
      <c r="BB17" s="1"/>
      <c r="BC17" s="7"/>
      <c r="BD17" s="8"/>
    </row>
    <row r="18" spans="1:56" ht="12.75" x14ac:dyDescent="0.2">
      <c r="A18" s="1"/>
      <c r="B18" s="6"/>
      <c r="C18" s="9"/>
      <c r="D18" s="1"/>
      <c r="E18" s="10"/>
      <c r="F18" s="10"/>
      <c r="G18" s="10"/>
      <c r="H18" s="10"/>
      <c r="I18" s="10"/>
      <c r="J18" s="10"/>
      <c r="K18" s="10"/>
      <c r="L18" s="10"/>
      <c r="M18" s="7"/>
      <c r="N18" s="8"/>
      <c r="O18" s="1"/>
      <c r="P18" s="6"/>
      <c r="Q18" s="9"/>
      <c r="R18" s="1"/>
      <c r="S18" s="514"/>
      <c r="T18" s="514"/>
      <c r="U18" s="514"/>
      <c r="V18" s="514"/>
      <c r="W18" s="514"/>
      <c r="X18" s="514"/>
      <c r="Y18" s="514"/>
      <c r="Z18" s="514"/>
      <c r="AA18" s="7"/>
      <c r="AB18" s="8"/>
      <c r="AD18" s="6"/>
      <c r="AE18" s="9"/>
      <c r="AF18" s="1"/>
      <c r="AG18" s="514"/>
      <c r="AH18" s="514"/>
      <c r="AI18" s="514"/>
      <c r="AJ18" s="514"/>
      <c r="AK18" s="514"/>
      <c r="AL18" s="514"/>
      <c r="AM18" s="514"/>
      <c r="AN18" s="514"/>
      <c r="AO18" s="7"/>
      <c r="AP18" s="8"/>
      <c r="AR18" s="6"/>
      <c r="AS18" s="9"/>
      <c r="AT18" s="1"/>
      <c r="AU18" s="514"/>
      <c r="AV18" s="514"/>
      <c r="AW18" s="514"/>
      <c r="AX18" s="514"/>
      <c r="AY18" s="514"/>
      <c r="AZ18" s="514"/>
      <c r="BA18" s="514"/>
      <c r="BB18" s="514"/>
      <c r="BC18" s="7"/>
      <c r="BD18" s="8"/>
    </row>
    <row r="19" spans="1:56" ht="12.75" x14ac:dyDescent="0.2">
      <c r="A19" s="1"/>
      <c r="B19" s="6"/>
      <c r="C19" s="9"/>
      <c r="D19" s="1"/>
      <c r="E19" s="1"/>
      <c r="F19" s="1"/>
      <c r="G19" s="1"/>
      <c r="H19" s="1"/>
      <c r="I19" s="1"/>
      <c r="J19" s="1"/>
      <c r="K19" s="1"/>
      <c r="L19" s="1"/>
      <c r="M19" s="7"/>
      <c r="N19" s="8"/>
      <c r="O19" s="1"/>
      <c r="P19" s="6"/>
      <c r="Q19" s="9"/>
      <c r="R19" s="1"/>
      <c r="S19" s="1"/>
      <c r="T19" s="1"/>
      <c r="U19" s="1"/>
      <c r="V19" s="1"/>
      <c r="W19" s="1"/>
      <c r="X19" s="1"/>
      <c r="Y19" s="1"/>
      <c r="Z19" s="1"/>
      <c r="AA19" s="7"/>
      <c r="AB19" s="8"/>
      <c r="AD19" s="6"/>
      <c r="AE19" s="9"/>
      <c r="AF19" s="1"/>
      <c r="AG19" s="1"/>
      <c r="AH19" s="1"/>
      <c r="AI19" s="1"/>
      <c r="AJ19" s="1"/>
      <c r="AK19" s="1"/>
      <c r="AL19" s="1"/>
      <c r="AM19" s="1"/>
      <c r="AN19" s="1"/>
      <c r="AO19" s="7"/>
      <c r="AP19" s="8"/>
      <c r="AR19" s="6"/>
      <c r="AS19" s="9"/>
      <c r="AT19" s="1"/>
      <c r="AU19" s="1"/>
      <c r="AV19" s="1"/>
      <c r="AW19" s="1"/>
      <c r="AX19" s="1"/>
      <c r="AY19" s="1"/>
      <c r="AZ19" s="1"/>
      <c r="BA19" s="1"/>
      <c r="BB19" s="1"/>
      <c r="BC19" s="7"/>
      <c r="BD19" s="8"/>
    </row>
    <row r="20" spans="1:56" ht="12.75" x14ac:dyDescent="0.2">
      <c r="A20" s="1"/>
      <c r="B20" s="6"/>
      <c r="C20" s="9"/>
      <c r="D20" s="1"/>
      <c r="E20" s="10"/>
      <c r="F20" s="10"/>
      <c r="G20" s="10"/>
      <c r="H20" s="10"/>
      <c r="I20" s="10"/>
      <c r="J20" s="10"/>
      <c r="K20" s="10"/>
      <c r="L20" s="10"/>
      <c r="M20" s="7"/>
      <c r="N20" s="8"/>
      <c r="O20" s="1"/>
      <c r="P20" s="6"/>
      <c r="Q20" s="9"/>
      <c r="R20" s="1"/>
      <c r="S20" s="514"/>
      <c r="T20" s="514"/>
      <c r="U20" s="514"/>
      <c r="V20" s="514"/>
      <c r="W20" s="514"/>
      <c r="X20" s="514"/>
      <c r="Y20" s="514"/>
      <c r="Z20" s="514"/>
      <c r="AA20" s="7"/>
      <c r="AB20" s="8"/>
      <c r="AD20" s="6"/>
      <c r="AE20" s="9"/>
      <c r="AF20" s="1"/>
      <c r="AG20" s="514"/>
      <c r="AH20" s="514"/>
      <c r="AI20" s="514"/>
      <c r="AJ20" s="514"/>
      <c r="AK20" s="514"/>
      <c r="AL20" s="514"/>
      <c r="AM20" s="514"/>
      <c r="AN20" s="514"/>
      <c r="AO20" s="7"/>
      <c r="AP20" s="8"/>
      <c r="AR20" s="6"/>
      <c r="AS20" s="9"/>
      <c r="AT20" s="1"/>
      <c r="AU20" s="514"/>
      <c r="AV20" s="514"/>
      <c r="AW20" s="514"/>
      <c r="AX20" s="514"/>
      <c r="AY20" s="514"/>
      <c r="AZ20" s="514"/>
      <c r="BA20" s="514"/>
      <c r="BB20" s="514"/>
      <c r="BC20" s="7"/>
      <c r="BD20" s="8"/>
    </row>
    <row r="21" spans="1:56" ht="12.75" x14ac:dyDescent="0.2">
      <c r="A21" s="1"/>
      <c r="B21" s="6"/>
      <c r="C21" s="9"/>
      <c r="D21" s="1"/>
      <c r="E21" s="1"/>
      <c r="F21" s="1"/>
      <c r="G21" s="1"/>
      <c r="H21" s="1"/>
      <c r="I21" s="1"/>
      <c r="J21" s="1"/>
      <c r="K21" s="1"/>
      <c r="L21" s="1"/>
      <c r="M21" s="7"/>
      <c r="N21" s="8"/>
      <c r="O21" s="1"/>
      <c r="P21" s="6"/>
      <c r="Q21" s="9"/>
      <c r="R21" s="1"/>
      <c r="S21" s="1"/>
      <c r="T21" s="1"/>
      <c r="U21" s="1"/>
      <c r="V21" s="1"/>
      <c r="W21" s="1"/>
      <c r="X21" s="1"/>
      <c r="Y21" s="1"/>
      <c r="Z21" s="1"/>
      <c r="AA21" s="7"/>
      <c r="AB21" s="8"/>
      <c r="AD21" s="6"/>
      <c r="AE21" s="9"/>
      <c r="AF21" s="1"/>
      <c r="AG21" s="1"/>
      <c r="AH21" s="1"/>
      <c r="AI21" s="1"/>
      <c r="AJ21" s="1"/>
      <c r="AK21" s="1"/>
      <c r="AL21" s="1"/>
      <c r="AM21" s="1"/>
      <c r="AN21" s="1"/>
      <c r="AO21" s="7"/>
      <c r="AP21" s="8"/>
      <c r="AR21" s="6"/>
      <c r="AS21" s="9"/>
      <c r="AT21" s="1"/>
      <c r="AU21" s="1"/>
      <c r="AV21" s="1"/>
      <c r="AW21" s="1"/>
      <c r="AX21" s="1"/>
      <c r="AY21" s="1"/>
      <c r="AZ21" s="1"/>
      <c r="BA21" s="1"/>
      <c r="BB21" s="1"/>
      <c r="BC21" s="7"/>
      <c r="BD21" s="8"/>
    </row>
    <row r="22" spans="1:56" ht="12.75" x14ac:dyDescent="0.2">
      <c r="A22" s="1"/>
      <c r="B22" s="6"/>
      <c r="C22" s="9"/>
      <c r="D22" s="1"/>
      <c r="E22" s="10"/>
      <c r="F22" s="10"/>
      <c r="G22" s="10"/>
      <c r="H22" s="10"/>
      <c r="I22" s="10"/>
      <c r="J22" s="10"/>
      <c r="K22" s="10"/>
      <c r="L22" s="10"/>
      <c r="M22" s="7"/>
      <c r="N22" s="8"/>
      <c r="O22" s="1"/>
      <c r="P22" s="6"/>
      <c r="Q22" s="9"/>
      <c r="R22" s="1"/>
      <c r="S22" s="514"/>
      <c r="T22" s="514"/>
      <c r="U22" s="514"/>
      <c r="V22" s="514"/>
      <c r="W22" s="514"/>
      <c r="X22" s="514"/>
      <c r="Y22" s="514"/>
      <c r="Z22" s="514"/>
      <c r="AA22" s="7"/>
      <c r="AB22" s="8"/>
      <c r="AD22" s="6"/>
      <c r="AE22" s="9"/>
      <c r="AF22" s="1"/>
      <c r="AG22" s="514"/>
      <c r="AH22" s="514"/>
      <c r="AI22" s="514"/>
      <c r="AJ22" s="514"/>
      <c r="AK22" s="514"/>
      <c r="AL22" s="514"/>
      <c r="AM22" s="514"/>
      <c r="AN22" s="514"/>
      <c r="AO22" s="7"/>
      <c r="AP22" s="8"/>
      <c r="AR22" s="6"/>
      <c r="AS22" s="9"/>
      <c r="AT22" s="1"/>
      <c r="AU22" s="514"/>
      <c r="AV22" s="514"/>
      <c r="AW22" s="514"/>
      <c r="AX22" s="514"/>
      <c r="AY22" s="514"/>
      <c r="AZ22" s="514"/>
      <c r="BA22" s="514"/>
      <c r="BB22" s="514"/>
      <c r="BC22" s="7"/>
      <c r="BD22" s="8"/>
    </row>
    <row r="23" spans="1:56" ht="12.75" x14ac:dyDescent="0.2">
      <c r="A23" s="1"/>
      <c r="B23" s="6"/>
      <c r="C23" s="9"/>
      <c r="D23" s="1"/>
      <c r="E23" s="10"/>
      <c r="F23" s="10"/>
      <c r="G23" s="10"/>
      <c r="H23" s="10"/>
      <c r="I23" s="10"/>
      <c r="J23" s="10"/>
      <c r="K23" s="10"/>
      <c r="L23" s="10"/>
      <c r="M23" s="7"/>
      <c r="N23" s="8"/>
      <c r="O23" s="1"/>
      <c r="P23" s="6"/>
      <c r="Q23" s="9"/>
      <c r="R23" s="1"/>
      <c r="S23" s="514"/>
      <c r="T23" s="514"/>
      <c r="U23" s="514"/>
      <c r="V23" s="514"/>
      <c r="W23" s="514"/>
      <c r="X23" s="514"/>
      <c r="Y23" s="514"/>
      <c r="Z23" s="514"/>
      <c r="AA23" s="7"/>
      <c r="AB23" s="8"/>
      <c r="AD23" s="6"/>
      <c r="AE23" s="9"/>
      <c r="AF23" s="1"/>
      <c r="AG23" s="514"/>
      <c r="AH23" s="514"/>
      <c r="AI23" s="514"/>
      <c r="AJ23" s="514"/>
      <c r="AK23" s="514"/>
      <c r="AL23" s="514"/>
      <c r="AM23" s="514"/>
      <c r="AN23" s="514"/>
      <c r="AO23" s="7"/>
      <c r="AP23" s="8"/>
      <c r="AR23" s="6"/>
      <c r="AS23" s="9"/>
      <c r="AT23" s="1"/>
      <c r="AU23" s="514"/>
      <c r="AV23" s="514"/>
      <c r="AW23" s="514"/>
      <c r="AX23" s="514"/>
      <c r="AY23" s="514"/>
      <c r="AZ23" s="514"/>
      <c r="BA23" s="514"/>
      <c r="BB23" s="514"/>
      <c r="BC23" s="7"/>
      <c r="BD23" s="8"/>
    </row>
    <row r="24" spans="1:56" ht="12.75" x14ac:dyDescent="0.2">
      <c r="A24" s="1"/>
      <c r="B24" s="6"/>
      <c r="C24" s="9"/>
      <c r="D24" s="1"/>
      <c r="E24" s="10"/>
      <c r="F24" s="10"/>
      <c r="G24" s="10"/>
      <c r="H24" s="10"/>
      <c r="I24" s="10"/>
      <c r="J24" s="10"/>
      <c r="K24" s="10"/>
      <c r="L24" s="10"/>
      <c r="M24" s="7"/>
      <c r="N24" s="8"/>
      <c r="O24" s="1"/>
      <c r="P24" s="6"/>
      <c r="Q24" s="9"/>
      <c r="R24" s="1"/>
      <c r="S24" s="514"/>
      <c r="T24" s="514"/>
      <c r="U24" s="514"/>
      <c r="V24" s="514"/>
      <c r="W24" s="514"/>
      <c r="X24" s="514"/>
      <c r="Y24" s="514"/>
      <c r="Z24" s="514"/>
      <c r="AA24" s="7"/>
      <c r="AB24" s="8"/>
      <c r="AD24" s="6"/>
      <c r="AE24" s="9"/>
      <c r="AF24" s="1"/>
      <c r="AG24" s="514"/>
      <c r="AH24" s="514"/>
      <c r="AI24" s="514"/>
      <c r="AJ24" s="514"/>
      <c r="AK24" s="514"/>
      <c r="AL24" s="514"/>
      <c r="AM24" s="514"/>
      <c r="AN24" s="514"/>
      <c r="AO24" s="7"/>
      <c r="AP24" s="8"/>
      <c r="AR24" s="6"/>
      <c r="AS24" s="9"/>
      <c r="AT24" s="1"/>
      <c r="AU24" s="514"/>
      <c r="AV24" s="514"/>
      <c r="AW24" s="514"/>
      <c r="AX24" s="514"/>
      <c r="AY24" s="514"/>
      <c r="AZ24" s="514"/>
      <c r="BA24" s="514"/>
      <c r="BB24" s="514"/>
      <c r="BC24" s="7"/>
      <c r="BD24" s="8"/>
    </row>
    <row r="25" spans="1:56" ht="12.75" x14ac:dyDescent="0.2">
      <c r="A25" s="1"/>
      <c r="B25" s="6"/>
      <c r="C25" s="9"/>
      <c r="D25" s="1"/>
      <c r="E25" s="1"/>
      <c r="F25" s="1"/>
      <c r="G25" s="1"/>
      <c r="H25" s="1"/>
      <c r="I25" s="1"/>
      <c r="J25" s="1"/>
      <c r="K25" s="1"/>
      <c r="L25" s="1"/>
      <c r="M25" s="7"/>
      <c r="N25" s="8"/>
      <c r="O25" s="1"/>
      <c r="P25" s="6"/>
      <c r="Q25" s="9"/>
      <c r="R25" s="1"/>
      <c r="S25" s="1"/>
      <c r="T25" s="1"/>
      <c r="U25" s="1"/>
      <c r="V25" s="1"/>
      <c r="W25" s="1"/>
      <c r="X25" s="1"/>
      <c r="Y25" s="1"/>
      <c r="Z25" s="1"/>
      <c r="AA25" s="7"/>
      <c r="AB25" s="8"/>
      <c r="AD25" s="6"/>
      <c r="AE25" s="9"/>
      <c r="AF25" s="1"/>
      <c r="AG25" s="1"/>
      <c r="AH25" s="1"/>
      <c r="AI25" s="1"/>
      <c r="AJ25" s="1"/>
      <c r="AK25" s="1"/>
      <c r="AL25" s="1"/>
      <c r="AM25" s="1"/>
      <c r="AN25" s="1"/>
      <c r="AO25" s="7"/>
      <c r="AP25" s="8"/>
      <c r="AR25" s="6"/>
      <c r="AS25" s="9"/>
      <c r="AT25" s="1"/>
      <c r="AU25" s="1"/>
      <c r="AV25" s="1"/>
      <c r="AW25" s="1"/>
      <c r="AX25" s="1"/>
      <c r="AY25" s="1"/>
      <c r="AZ25" s="1"/>
      <c r="BA25" s="1"/>
      <c r="BB25" s="1"/>
      <c r="BC25" s="7"/>
      <c r="BD25" s="8"/>
    </row>
    <row r="26" spans="1:56" ht="12.75" x14ac:dyDescent="0.2">
      <c r="A26" s="1"/>
      <c r="B26" s="6"/>
      <c r="C26" s="9"/>
      <c r="D26" s="1"/>
      <c r="E26" s="13"/>
      <c r="F26" s="1"/>
      <c r="G26" s="14"/>
      <c r="H26" s="15"/>
      <c r="I26" s="10"/>
      <c r="J26" s="10"/>
      <c r="K26" s="16"/>
      <c r="L26" s="16"/>
      <c r="M26" s="7"/>
      <c r="N26" s="8"/>
      <c r="O26" s="1"/>
      <c r="P26" s="6"/>
      <c r="Q26" s="9"/>
      <c r="R26" s="1"/>
      <c r="S26" s="520"/>
      <c r="T26" s="520"/>
      <c r="U26" s="14"/>
      <c r="V26" s="521"/>
      <c r="W26" s="521"/>
      <c r="X26" s="521"/>
      <c r="Y26" s="521"/>
      <c r="Z26" s="521"/>
      <c r="AA26" s="7"/>
      <c r="AB26" s="8"/>
      <c r="AD26" s="6"/>
      <c r="AE26" s="9"/>
      <c r="AF26" s="1"/>
      <c r="AG26" s="520"/>
      <c r="AH26" s="520"/>
      <c r="AI26" s="14"/>
      <c r="AJ26" s="521"/>
      <c r="AK26" s="521"/>
      <c r="AL26" s="521"/>
      <c r="AM26" s="521"/>
      <c r="AN26" s="521"/>
      <c r="AO26" s="7"/>
      <c r="AP26" s="8"/>
      <c r="AR26" s="6"/>
      <c r="AS26" s="9"/>
      <c r="AT26" s="1"/>
      <c r="AU26" s="520"/>
      <c r="AV26" s="520"/>
      <c r="AW26" s="14"/>
      <c r="AX26" s="521"/>
      <c r="AY26" s="521"/>
      <c r="AZ26" s="521"/>
      <c r="BA26" s="521"/>
      <c r="BB26" s="521"/>
      <c r="BC26" s="7"/>
      <c r="BD26" s="8"/>
    </row>
    <row r="27" spans="1:56" ht="12.75" x14ac:dyDescent="0.2">
      <c r="A27" s="1"/>
      <c r="B27" s="6"/>
      <c r="C27" s="1"/>
      <c r="D27" s="1"/>
      <c r="E27" s="1"/>
      <c r="F27" s="1"/>
      <c r="G27" s="1"/>
      <c r="H27" s="1"/>
      <c r="I27" s="1"/>
      <c r="J27" s="1"/>
      <c r="K27" s="1"/>
      <c r="L27" s="1"/>
      <c r="M27" s="7"/>
      <c r="N27" s="8"/>
      <c r="O27" s="1"/>
      <c r="P27" s="6"/>
      <c r="Q27" s="1"/>
      <c r="R27" s="1"/>
      <c r="S27" s="1"/>
      <c r="T27" s="1"/>
      <c r="U27" s="1"/>
      <c r="V27" s="1"/>
      <c r="W27" s="1"/>
      <c r="X27" s="1"/>
      <c r="Y27" s="1"/>
      <c r="Z27" s="1"/>
      <c r="AA27" s="7"/>
      <c r="AB27" s="8"/>
      <c r="AD27" s="6"/>
      <c r="AE27" s="1"/>
      <c r="AF27" s="1"/>
      <c r="AG27" s="1"/>
      <c r="AH27" s="1"/>
      <c r="AI27" s="1"/>
      <c r="AJ27" s="1"/>
      <c r="AK27" s="1"/>
      <c r="AL27" s="1"/>
      <c r="AM27" s="1"/>
      <c r="AN27" s="1"/>
      <c r="AO27" s="7"/>
      <c r="AP27" s="8"/>
      <c r="AR27" s="6"/>
      <c r="AS27" s="1"/>
      <c r="AT27" s="1"/>
      <c r="AU27" s="1"/>
      <c r="AV27" s="1"/>
      <c r="AW27" s="1"/>
      <c r="AX27" s="1"/>
      <c r="AY27" s="1"/>
      <c r="AZ27" s="1"/>
      <c r="BA27" s="1"/>
      <c r="BB27" s="1"/>
      <c r="BC27" s="7"/>
      <c r="BD27" s="8"/>
    </row>
    <row r="28" spans="1:56" ht="12.75" x14ac:dyDescent="0.2">
      <c r="A28" s="1"/>
      <c r="B28" s="6"/>
      <c r="C28" s="17"/>
      <c r="D28" s="1"/>
      <c r="E28" s="1"/>
      <c r="F28" s="1"/>
      <c r="G28" s="1"/>
      <c r="H28" s="1"/>
      <c r="I28" s="1"/>
      <c r="J28" s="1"/>
      <c r="K28" s="1"/>
      <c r="L28" s="1"/>
      <c r="M28" s="7"/>
      <c r="N28" s="8"/>
      <c r="O28" s="1"/>
      <c r="P28" s="6"/>
      <c r="Q28" s="17"/>
      <c r="R28" s="1"/>
      <c r="S28" s="1"/>
      <c r="T28" s="1"/>
      <c r="U28" s="1"/>
      <c r="V28" s="1"/>
      <c r="W28" s="1"/>
      <c r="X28" s="1"/>
      <c r="Y28" s="1"/>
      <c r="Z28" s="1"/>
      <c r="AA28" s="7"/>
      <c r="AB28" s="8"/>
      <c r="AD28" s="6"/>
      <c r="AE28" s="17"/>
      <c r="AF28" s="1"/>
      <c r="AG28" s="1"/>
      <c r="AH28" s="1"/>
      <c r="AI28" s="1"/>
      <c r="AJ28" s="1"/>
      <c r="AK28" s="1"/>
      <c r="AL28" s="1"/>
      <c r="AM28" s="1"/>
      <c r="AN28" s="1"/>
      <c r="AO28" s="7"/>
      <c r="AP28" s="8"/>
      <c r="AR28" s="6"/>
      <c r="AS28" s="17"/>
      <c r="AT28" s="1"/>
      <c r="AU28" s="1"/>
      <c r="AV28" s="1"/>
      <c r="AW28" s="1"/>
      <c r="AX28" s="1"/>
      <c r="AY28" s="1"/>
      <c r="AZ28" s="1"/>
      <c r="BA28" s="1"/>
      <c r="BB28" s="1"/>
      <c r="BC28" s="7"/>
      <c r="BD28" s="8"/>
    </row>
    <row r="29" spans="1:56" ht="15" x14ac:dyDescent="0.2">
      <c r="A29" s="1"/>
      <c r="B29" s="6"/>
      <c r="C29" s="18"/>
      <c r="D29" s="19"/>
      <c r="E29" s="19"/>
      <c r="F29" s="19"/>
      <c r="G29" s="19"/>
      <c r="H29" s="19"/>
      <c r="I29" s="19"/>
      <c r="J29" s="18"/>
      <c r="K29" s="19"/>
      <c r="L29" s="19"/>
      <c r="M29" s="7"/>
      <c r="N29" s="8"/>
      <c r="O29" s="1"/>
      <c r="P29" s="6"/>
      <c r="Q29" s="519"/>
      <c r="R29" s="519"/>
      <c r="S29" s="519"/>
      <c r="T29" s="519"/>
      <c r="U29" s="519"/>
      <c r="V29" s="519"/>
      <c r="W29" s="519"/>
      <c r="X29" s="519"/>
      <c r="Y29" s="519"/>
      <c r="Z29" s="519"/>
      <c r="AA29" s="7"/>
      <c r="AB29" s="8"/>
      <c r="AD29" s="6"/>
      <c r="AE29" s="519"/>
      <c r="AF29" s="519"/>
      <c r="AG29" s="519"/>
      <c r="AH29" s="519"/>
      <c r="AI29" s="519"/>
      <c r="AJ29" s="519"/>
      <c r="AK29" s="519"/>
      <c r="AL29" s="519"/>
      <c r="AM29" s="519"/>
      <c r="AN29" s="519"/>
      <c r="AO29" s="7"/>
      <c r="AP29" s="8"/>
      <c r="AR29" s="6"/>
      <c r="AS29" s="519"/>
      <c r="AT29" s="519"/>
      <c r="AU29" s="519"/>
      <c r="AV29" s="519"/>
      <c r="AW29" s="519"/>
      <c r="AX29" s="519"/>
      <c r="AY29" s="519"/>
      <c r="AZ29" s="519"/>
      <c r="BA29" s="519"/>
      <c r="BB29" s="519"/>
      <c r="BC29" s="7"/>
      <c r="BD29" s="8"/>
    </row>
    <row r="30" spans="1:56" ht="12.75" x14ac:dyDescent="0.2">
      <c r="A30" s="1"/>
      <c r="B30" s="6"/>
      <c r="C30" s="10"/>
      <c r="D30" s="10"/>
      <c r="E30" s="10"/>
      <c r="F30" s="10"/>
      <c r="G30" s="10"/>
      <c r="H30" s="10"/>
      <c r="I30" s="10"/>
      <c r="J30" s="20"/>
      <c r="K30" s="21"/>
      <c r="L30" s="21"/>
      <c r="M30" s="7"/>
      <c r="N30" s="8"/>
      <c r="O30" s="1"/>
      <c r="P30" s="6"/>
      <c r="Q30" s="514"/>
      <c r="R30" s="514"/>
      <c r="S30" s="514"/>
      <c r="T30" s="514"/>
      <c r="U30" s="514"/>
      <c r="V30" s="514"/>
      <c r="W30" s="514"/>
      <c r="X30" s="515"/>
      <c r="Y30" s="515"/>
      <c r="Z30" s="515"/>
      <c r="AA30" s="7"/>
      <c r="AB30" s="8"/>
      <c r="AD30" s="6"/>
      <c r="AE30" s="514"/>
      <c r="AF30" s="514"/>
      <c r="AG30" s="514"/>
      <c r="AH30" s="514"/>
      <c r="AI30" s="514"/>
      <c r="AJ30" s="514"/>
      <c r="AK30" s="514"/>
      <c r="AL30" s="515"/>
      <c r="AM30" s="515"/>
      <c r="AN30" s="515"/>
      <c r="AO30" s="7"/>
      <c r="AP30" s="8"/>
      <c r="AR30" s="6"/>
      <c r="AS30" s="514"/>
      <c r="AT30" s="514"/>
      <c r="AU30" s="514"/>
      <c r="AV30" s="514"/>
      <c r="AW30" s="514"/>
      <c r="AX30" s="514"/>
      <c r="AY30" s="514"/>
      <c r="AZ30" s="515"/>
      <c r="BA30" s="515"/>
      <c r="BB30" s="515"/>
      <c r="BC30" s="7"/>
      <c r="BD30" s="8"/>
    </row>
    <row r="31" spans="1:56" ht="12.75" x14ac:dyDescent="0.2">
      <c r="A31" s="1"/>
      <c r="B31" s="6"/>
      <c r="C31" s="10"/>
      <c r="D31" s="10"/>
      <c r="E31" s="10"/>
      <c r="F31" s="10"/>
      <c r="G31" s="10"/>
      <c r="H31" s="10"/>
      <c r="I31" s="10"/>
      <c r="J31" s="20"/>
      <c r="K31" s="21"/>
      <c r="L31" s="21"/>
      <c r="M31" s="7"/>
      <c r="N31" s="8"/>
      <c r="O31" s="1"/>
      <c r="P31" s="6"/>
      <c r="Q31" s="514"/>
      <c r="R31" s="514"/>
      <c r="S31" s="514"/>
      <c r="T31" s="514"/>
      <c r="U31" s="514"/>
      <c r="V31" s="514"/>
      <c r="W31" s="514"/>
      <c r="X31" s="515"/>
      <c r="Y31" s="515"/>
      <c r="Z31" s="515"/>
      <c r="AA31" s="7"/>
      <c r="AB31" s="8"/>
      <c r="AD31" s="6"/>
      <c r="AE31" s="514"/>
      <c r="AF31" s="514"/>
      <c r="AG31" s="514"/>
      <c r="AH31" s="514"/>
      <c r="AI31" s="514"/>
      <c r="AJ31" s="514"/>
      <c r="AK31" s="514"/>
      <c r="AL31" s="515"/>
      <c r="AM31" s="515"/>
      <c r="AN31" s="515"/>
      <c r="AO31" s="7"/>
      <c r="AP31" s="8"/>
      <c r="AR31" s="6"/>
      <c r="AS31" s="514"/>
      <c r="AT31" s="514"/>
      <c r="AU31" s="514"/>
      <c r="AV31" s="514"/>
      <c r="AW31" s="514"/>
      <c r="AX31" s="514"/>
      <c r="AY31" s="514"/>
      <c r="AZ31" s="515"/>
      <c r="BA31" s="515"/>
      <c r="BB31" s="515"/>
      <c r="BC31" s="7"/>
      <c r="BD31" s="8"/>
    </row>
    <row r="32" spans="1:56" ht="18" x14ac:dyDescent="0.25">
      <c r="A32" s="1"/>
      <c r="B32" s="6"/>
      <c r="C32" s="22"/>
      <c r="D32" s="23"/>
      <c r="E32" s="23"/>
      <c r="F32" s="23"/>
      <c r="G32" s="23"/>
      <c r="H32" s="23"/>
      <c r="I32" s="23"/>
      <c r="M32" s="7"/>
      <c r="N32" s="8"/>
      <c r="O32" s="1"/>
      <c r="P32" s="6"/>
      <c r="Q32" s="518"/>
      <c r="R32" s="518"/>
      <c r="S32" s="518"/>
      <c r="T32" s="518"/>
      <c r="U32" s="518"/>
      <c r="V32" s="518"/>
      <c r="W32" s="518"/>
      <c r="X32" s="518"/>
      <c r="Y32" s="518"/>
      <c r="Z32" s="518"/>
      <c r="AA32" s="7"/>
      <c r="AB32" s="8"/>
      <c r="AD32" s="6"/>
      <c r="AE32" s="518"/>
      <c r="AF32" s="518"/>
      <c r="AG32" s="518"/>
      <c r="AH32" s="518"/>
      <c r="AI32" s="518"/>
      <c r="AJ32" s="518"/>
      <c r="AK32" s="518"/>
      <c r="AL32" s="518"/>
      <c r="AM32" s="518"/>
      <c r="AN32" s="518"/>
      <c r="AO32" s="7"/>
      <c r="AP32" s="8"/>
      <c r="AR32" s="6"/>
      <c r="AS32" s="518"/>
      <c r="AT32" s="518"/>
      <c r="AU32" s="518"/>
      <c r="AV32" s="518"/>
      <c r="AW32" s="518"/>
      <c r="AX32" s="518"/>
      <c r="AY32" s="518"/>
      <c r="AZ32" s="518"/>
      <c r="BA32" s="518"/>
      <c r="BB32" s="518"/>
      <c r="BC32" s="7"/>
      <c r="BD32" s="8"/>
    </row>
    <row r="33" spans="1:56" ht="12.75" x14ac:dyDescent="0.2">
      <c r="A33" s="1"/>
      <c r="B33" s="6"/>
      <c r="C33" s="10"/>
      <c r="D33" s="24"/>
      <c r="E33" s="24"/>
      <c r="F33" s="24"/>
      <c r="G33" s="24"/>
      <c r="H33" s="24"/>
      <c r="I33" s="24"/>
      <c r="J33" s="20"/>
      <c r="K33" s="21"/>
      <c r="L33" s="21"/>
      <c r="M33" s="7"/>
      <c r="N33" s="8"/>
      <c r="O33" s="1"/>
      <c r="P33" s="6"/>
      <c r="Q33" s="514"/>
      <c r="R33" s="514"/>
      <c r="S33" s="514"/>
      <c r="T33" s="514"/>
      <c r="U33" s="514"/>
      <c r="V33" s="514"/>
      <c r="W33" s="514"/>
      <c r="X33" s="515"/>
      <c r="Y33" s="515"/>
      <c r="Z33" s="515"/>
      <c r="AA33" s="7"/>
      <c r="AB33" s="8"/>
      <c r="AD33" s="6"/>
      <c r="AE33" s="514"/>
      <c r="AF33" s="514"/>
      <c r="AG33" s="514"/>
      <c r="AH33" s="514"/>
      <c r="AI33" s="514"/>
      <c r="AJ33" s="514"/>
      <c r="AK33" s="514"/>
      <c r="AL33" s="515"/>
      <c r="AM33" s="515"/>
      <c r="AN33" s="515"/>
      <c r="AO33" s="7"/>
      <c r="AP33" s="8"/>
      <c r="AR33" s="6"/>
      <c r="AS33" s="514"/>
      <c r="AT33" s="514"/>
      <c r="AU33" s="514"/>
      <c r="AV33" s="514"/>
      <c r="AW33" s="514"/>
      <c r="AX33" s="514"/>
      <c r="AY33" s="514"/>
      <c r="AZ33" s="515"/>
      <c r="BA33" s="515"/>
      <c r="BB33" s="515"/>
      <c r="BC33" s="7"/>
      <c r="BD33" s="8"/>
    </row>
    <row r="34" spans="1:56" ht="12.75" x14ac:dyDescent="0.2">
      <c r="A34" s="1"/>
      <c r="B34" s="6"/>
      <c r="C34" s="10"/>
      <c r="D34" s="24"/>
      <c r="E34" s="24"/>
      <c r="F34" s="24"/>
      <c r="G34" s="24"/>
      <c r="H34" s="24"/>
      <c r="I34" s="24"/>
      <c r="J34" s="20"/>
      <c r="K34" s="21"/>
      <c r="L34" s="21"/>
      <c r="M34" s="7"/>
      <c r="N34" s="8"/>
      <c r="O34" s="1"/>
      <c r="P34" s="6"/>
      <c r="Q34" s="514"/>
      <c r="R34" s="514"/>
      <c r="S34" s="514"/>
      <c r="T34" s="514"/>
      <c r="U34" s="514"/>
      <c r="V34" s="514"/>
      <c r="W34" s="514"/>
      <c r="X34" s="515"/>
      <c r="Y34" s="515"/>
      <c r="Z34" s="515"/>
      <c r="AA34" s="7"/>
      <c r="AB34" s="8"/>
      <c r="AD34" s="6"/>
      <c r="AE34" s="514"/>
      <c r="AF34" s="514"/>
      <c r="AG34" s="514"/>
      <c r="AH34" s="514"/>
      <c r="AI34" s="514"/>
      <c r="AJ34" s="514"/>
      <c r="AK34" s="514"/>
      <c r="AL34" s="515"/>
      <c r="AM34" s="515"/>
      <c r="AN34" s="515"/>
      <c r="AO34" s="7"/>
      <c r="AP34" s="8"/>
      <c r="AR34" s="6"/>
      <c r="AS34" s="514"/>
      <c r="AT34" s="514"/>
      <c r="AU34" s="514"/>
      <c r="AV34" s="514"/>
      <c r="AW34" s="514"/>
      <c r="AX34" s="514"/>
      <c r="AY34" s="514"/>
      <c r="AZ34" s="515"/>
      <c r="BA34" s="515"/>
      <c r="BB34" s="515"/>
      <c r="BC34" s="7"/>
      <c r="BD34" s="8"/>
    </row>
    <row r="35" spans="1:56" ht="12.75" x14ac:dyDescent="0.2">
      <c r="A35" s="1"/>
      <c r="B35" s="6"/>
      <c r="C35" s="10"/>
      <c r="D35" s="24"/>
      <c r="E35" s="24"/>
      <c r="F35" s="24"/>
      <c r="G35" s="24"/>
      <c r="H35" s="24"/>
      <c r="I35" s="24"/>
      <c r="J35" s="20"/>
      <c r="K35" s="21"/>
      <c r="L35" s="21"/>
      <c r="M35" s="7"/>
      <c r="N35" s="8"/>
      <c r="O35" s="1"/>
      <c r="P35" s="6"/>
      <c r="Q35" s="514"/>
      <c r="R35" s="514"/>
      <c r="S35" s="514"/>
      <c r="T35" s="514"/>
      <c r="U35" s="514"/>
      <c r="V35" s="514"/>
      <c r="W35" s="514"/>
      <c r="X35" s="515"/>
      <c r="Y35" s="515"/>
      <c r="Z35" s="515"/>
      <c r="AA35" s="7"/>
      <c r="AB35" s="8"/>
      <c r="AD35" s="6"/>
      <c r="AE35" s="514"/>
      <c r="AF35" s="514"/>
      <c r="AG35" s="514"/>
      <c r="AH35" s="514"/>
      <c r="AI35" s="514"/>
      <c r="AJ35" s="514"/>
      <c r="AK35" s="514"/>
      <c r="AL35" s="515"/>
      <c r="AM35" s="515"/>
      <c r="AN35" s="515"/>
      <c r="AO35" s="7"/>
      <c r="AP35" s="8"/>
      <c r="AR35" s="6"/>
      <c r="AS35" s="514"/>
      <c r="AT35" s="514"/>
      <c r="AU35" s="514"/>
      <c r="AV35" s="514"/>
      <c r="AW35" s="514"/>
      <c r="AX35" s="514"/>
      <c r="AY35" s="514"/>
      <c r="AZ35" s="515"/>
      <c r="BA35" s="515"/>
      <c r="BB35" s="515"/>
      <c r="BC35" s="7"/>
      <c r="BD35" s="8"/>
    </row>
    <row r="36" spans="1:56" ht="12.75" x14ac:dyDescent="0.2">
      <c r="A36" s="1"/>
      <c r="B36" s="6"/>
      <c r="C36" s="10"/>
      <c r="D36" s="24"/>
      <c r="E36" s="24"/>
      <c r="F36" s="24"/>
      <c r="G36" s="24"/>
      <c r="H36" s="24"/>
      <c r="I36" s="24"/>
      <c r="J36" s="20"/>
      <c r="K36" s="21"/>
      <c r="L36" s="21"/>
      <c r="M36" s="7"/>
      <c r="N36" s="8"/>
      <c r="O36" s="1"/>
      <c r="P36" s="6"/>
      <c r="Q36" s="514"/>
      <c r="R36" s="514"/>
      <c r="S36" s="514"/>
      <c r="T36" s="514"/>
      <c r="U36" s="514"/>
      <c r="V36" s="514"/>
      <c r="W36" s="514"/>
      <c r="X36" s="515"/>
      <c r="Y36" s="515"/>
      <c r="Z36" s="515"/>
      <c r="AA36" s="7"/>
      <c r="AB36" s="8"/>
      <c r="AD36" s="6"/>
      <c r="AE36" s="514"/>
      <c r="AF36" s="514"/>
      <c r="AG36" s="514"/>
      <c r="AH36" s="514"/>
      <c r="AI36" s="514"/>
      <c r="AJ36" s="514"/>
      <c r="AK36" s="514"/>
      <c r="AL36" s="515"/>
      <c r="AM36" s="515"/>
      <c r="AN36" s="515"/>
      <c r="AO36" s="7"/>
      <c r="AP36" s="8"/>
      <c r="AR36" s="6"/>
      <c r="AS36" s="514"/>
      <c r="AT36" s="514"/>
      <c r="AU36" s="514"/>
      <c r="AV36" s="514"/>
      <c r="AW36" s="514"/>
      <c r="AX36" s="514"/>
      <c r="AY36" s="514"/>
      <c r="AZ36" s="515"/>
      <c r="BA36" s="515"/>
      <c r="BB36" s="515"/>
      <c r="BC36" s="7"/>
      <c r="BD36" s="8"/>
    </row>
    <row r="37" spans="1:56" ht="12.75" x14ac:dyDescent="0.2">
      <c r="A37" s="1"/>
      <c r="B37" s="6"/>
      <c r="C37" s="10"/>
      <c r="J37" s="20"/>
      <c r="M37" s="7"/>
      <c r="N37" s="8"/>
      <c r="O37" s="1"/>
      <c r="P37" s="6"/>
      <c r="Q37" s="514"/>
      <c r="R37" s="514"/>
      <c r="S37" s="514"/>
      <c r="T37" s="514"/>
      <c r="U37" s="514"/>
      <c r="V37" s="514"/>
      <c r="W37" s="514"/>
      <c r="X37" s="515"/>
      <c r="Y37" s="515"/>
      <c r="Z37" s="515"/>
      <c r="AA37" s="7"/>
      <c r="AB37" s="8"/>
      <c r="AD37" s="6"/>
      <c r="AE37" s="514"/>
      <c r="AF37" s="514"/>
      <c r="AG37" s="514"/>
      <c r="AH37" s="514"/>
      <c r="AI37" s="514"/>
      <c r="AJ37" s="514"/>
      <c r="AK37" s="514"/>
      <c r="AL37" s="515"/>
      <c r="AM37" s="515"/>
      <c r="AN37" s="515"/>
      <c r="AO37" s="7"/>
      <c r="AP37" s="8"/>
      <c r="AR37" s="6"/>
      <c r="AS37" s="514"/>
      <c r="AT37" s="514"/>
      <c r="AU37" s="514"/>
      <c r="AV37" s="514"/>
      <c r="AW37" s="514"/>
      <c r="AX37" s="514"/>
      <c r="AY37" s="514"/>
      <c r="AZ37" s="515"/>
      <c r="BA37" s="515"/>
      <c r="BB37" s="515"/>
      <c r="BC37" s="7"/>
      <c r="BD37" s="8"/>
    </row>
    <row r="38" spans="1:56" ht="12.75" x14ac:dyDescent="0.2">
      <c r="A38" s="1"/>
      <c r="B38" s="6"/>
      <c r="C38" s="10"/>
      <c r="J38" s="20"/>
      <c r="M38" s="7"/>
      <c r="N38" s="8"/>
      <c r="O38" s="1"/>
      <c r="P38" s="6"/>
      <c r="Q38" s="514"/>
      <c r="R38" s="514"/>
      <c r="S38" s="514"/>
      <c r="T38" s="514"/>
      <c r="U38" s="514"/>
      <c r="V38" s="514"/>
      <c r="W38" s="514"/>
      <c r="X38" s="515"/>
      <c r="Y38" s="515"/>
      <c r="Z38" s="515"/>
      <c r="AA38" s="7"/>
      <c r="AB38" s="8"/>
      <c r="AD38" s="6"/>
      <c r="AE38" s="514"/>
      <c r="AF38" s="514"/>
      <c r="AG38" s="514"/>
      <c r="AH38" s="514"/>
      <c r="AI38" s="514"/>
      <c r="AJ38" s="514"/>
      <c r="AK38" s="514"/>
      <c r="AL38" s="515"/>
      <c r="AM38" s="515"/>
      <c r="AN38" s="515"/>
      <c r="AO38" s="7"/>
      <c r="AP38" s="8"/>
      <c r="AR38" s="6"/>
      <c r="AS38" s="514"/>
      <c r="AT38" s="514"/>
      <c r="AU38" s="514"/>
      <c r="AV38" s="514"/>
      <c r="AW38" s="514"/>
      <c r="AX38" s="514"/>
      <c r="AY38" s="514"/>
      <c r="AZ38" s="515"/>
      <c r="BA38" s="515"/>
      <c r="BB38" s="515"/>
      <c r="BC38" s="7"/>
      <c r="BD38" s="8"/>
    </row>
    <row r="39" spans="1:56" ht="12.75" x14ac:dyDescent="0.2">
      <c r="A39" s="1"/>
      <c r="B39" s="6"/>
      <c r="C39" s="10"/>
      <c r="D39" s="10"/>
      <c r="E39" s="10"/>
      <c r="F39" s="10"/>
      <c r="G39" s="10"/>
      <c r="H39" s="10"/>
      <c r="I39" s="10"/>
      <c r="J39" s="20"/>
      <c r="K39" s="20"/>
      <c r="L39" s="20"/>
      <c r="M39" s="7"/>
      <c r="N39" s="8"/>
      <c r="O39" s="1"/>
      <c r="P39" s="6"/>
      <c r="Q39" s="514"/>
      <c r="R39" s="514"/>
      <c r="S39" s="514"/>
      <c r="T39" s="514"/>
      <c r="U39" s="514"/>
      <c r="V39" s="514"/>
      <c r="W39" s="514"/>
      <c r="X39" s="515"/>
      <c r="Y39" s="515"/>
      <c r="Z39" s="515"/>
      <c r="AA39" s="7"/>
      <c r="AB39" s="8"/>
      <c r="AD39" s="6"/>
      <c r="AE39" s="514"/>
      <c r="AF39" s="514"/>
      <c r="AG39" s="514"/>
      <c r="AH39" s="514"/>
      <c r="AI39" s="514"/>
      <c r="AJ39" s="514"/>
      <c r="AK39" s="514"/>
      <c r="AL39" s="515"/>
      <c r="AM39" s="515"/>
      <c r="AN39" s="515"/>
      <c r="AO39" s="7"/>
      <c r="AP39" s="8"/>
      <c r="AR39" s="6"/>
      <c r="AS39" s="514"/>
      <c r="AT39" s="514"/>
      <c r="AU39" s="514"/>
      <c r="AV39" s="514"/>
      <c r="AW39" s="514"/>
      <c r="AX39" s="514"/>
      <c r="AY39" s="514"/>
      <c r="AZ39" s="515"/>
      <c r="BA39" s="515"/>
      <c r="BB39" s="515"/>
      <c r="BC39" s="7"/>
      <c r="BD39" s="8"/>
    </row>
    <row r="40" spans="1:56" ht="12.75" x14ac:dyDescent="0.2">
      <c r="A40" s="1"/>
      <c r="B40" s="6"/>
      <c r="C40" s="10"/>
      <c r="J40" s="20"/>
      <c r="K40" s="20"/>
      <c r="L40" s="20"/>
      <c r="M40" s="7"/>
      <c r="N40" s="8"/>
      <c r="O40" s="1"/>
      <c r="P40" s="6"/>
      <c r="Q40" s="514"/>
      <c r="R40" s="514"/>
      <c r="S40" s="514"/>
      <c r="T40" s="514"/>
      <c r="U40" s="514"/>
      <c r="V40" s="514"/>
      <c r="W40" s="514"/>
      <c r="X40" s="515"/>
      <c r="Y40" s="515"/>
      <c r="Z40" s="515"/>
      <c r="AA40" s="7"/>
      <c r="AB40" s="8"/>
      <c r="AD40" s="6"/>
      <c r="AE40" s="514"/>
      <c r="AF40" s="514"/>
      <c r="AG40" s="514"/>
      <c r="AH40" s="514"/>
      <c r="AI40" s="514"/>
      <c r="AJ40" s="514"/>
      <c r="AK40" s="514"/>
      <c r="AL40" s="515"/>
      <c r="AM40" s="515"/>
      <c r="AN40" s="515"/>
      <c r="AO40" s="7"/>
      <c r="AP40" s="8"/>
      <c r="AR40" s="6"/>
      <c r="AS40" s="514"/>
      <c r="AT40" s="514"/>
      <c r="AU40" s="514"/>
      <c r="AV40" s="514"/>
      <c r="AW40" s="514"/>
      <c r="AX40" s="514"/>
      <c r="AY40" s="514"/>
      <c r="AZ40" s="515"/>
      <c r="BA40" s="515"/>
      <c r="BB40" s="515"/>
      <c r="BC40" s="7"/>
      <c r="BD40" s="8"/>
    </row>
    <row r="41" spans="1:56" ht="12.75" x14ac:dyDescent="0.2">
      <c r="A41" s="1"/>
      <c r="B41" s="6"/>
      <c r="C41" s="25"/>
      <c r="D41" s="26"/>
      <c r="E41" s="26"/>
      <c r="F41" s="26"/>
      <c r="G41" s="26"/>
      <c r="H41" s="26"/>
      <c r="I41" s="26"/>
      <c r="J41" s="27"/>
      <c r="M41" s="7"/>
      <c r="N41" s="8"/>
      <c r="O41" s="1"/>
      <c r="P41" s="6"/>
      <c r="Q41" s="516"/>
      <c r="R41" s="516"/>
      <c r="S41" s="516"/>
      <c r="T41" s="516"/>
      <c r="U41" s="516"/>
      <c r="V41" s="516"/>
      <c r="W41" s="516"/>
      <c r="X41" s="517"/>
      <c r="Y41" s="517"/>
      <c r="Z41" s="517"/>
      <c r="AA41" s="7"/>
      <c r="AB41" s="8"/>
      <c r="AD41" s="6"/>
      <c r="AE41" s="516"/>
      <c r="AF41" s="516"/>
      <c r="AG41" s="516"/>
      <c r="AH41" s="516"/>
      <c r="AI41" s="516"/>
      <c r="AJ41" s="516"/>
      <c r="AK41" s="516"/>
      <c r="AL41" s="517"/>
      <c r="AM41" s="517"/>
      <c r="AN41" s="517"/>
      <c r="AO41" s="7"/>
      <c r="AP41" s="8"/>
      <c r="AR41" s="6"/>
      <c r="AS41" s="516"/>
      <c r="AT41" s="516"/>
      <c r="AU41" s="516"/>
      <c r="AV41" s="516"/>
      <c r="AW41" s="516"/>
      <c r="AX41" s="516"/>
      <c r="AY41" s="516"/>
      <c r="AZ41" s="517"/>
      <c r="BA41" s="517"/>
      <c r="BB41" s="517"/>
      <c r="BC41" s="7"/>
      <c r="BD41" s="8"/>
    </row>
    <row r="42" spans="1:56" ht="12.75" x14ac:dyDescent="0.2">
      <c r="A42" s="1"/>
      <c r="B42" s="6"/>
      <c r="C42" s="10"/>
      <c r="J42" s="20"/>
      <c r="K42" s="21"/>
      <c r="L42" s="21"/>
      <c r="M42" s="7"/>
      <c r="N42" s="8"/>
      <c r="O42" s="1"/>
      <c r="P42" s="6"/>
      <c r="Q42" s="514"/>
      <c r="R42" s="514"/>
      <c r="S42" s="514"/>
      <c r="T42" s="514"/>
      <c r="U42" s="514"/>
      <c r="V42" s="514"/>
      <c r="W42" s="514"/>
      <c r="X42" s="515"/>
      <c r="Y42" s="515"/>
      <c r="Z42" s="515"/>
      <c r="AA42" s="7"/>
      <c r="AB42" s="8"/>
      <c r="AD42" s="6"/>
      <c r="AE42" s="514"/>
      <c r="AF42" s="514"/>
      <c r="AG42" s="514"/>
      <c r="AH42" s="514"/>
      <c r="AI42" s="514"/>
      <c r="AJ42" s="514"/>
      <c r="AK42" s="514"/>
      <c r="AL42" s="515"/>
      <c r="AM42" s="515"/>
      <c r="AN42" s="515"/>
      <c r="AO42" s="7"/>
      <c r="AP42" s="8"/>
      <c r="AR42" s="6"/>
      <c r="AS42" s="514"/>
      <c r="AT42" s="514"/>
      <c r="AU42" s="514"/>
      <c r="AV42" s="514"/>
      <c r="AW42" s="514"/>
      <c r="AX42" s="514"/>
      <c r="AY42" s="514"/>
      <c r="AZ42" s="515"/>
      <c r="BA42" s="515"/>
      <c r="BB42" s="515"/>
      <c r="BC42" s="7"/>
      <c r="BD42" s="8"/>
    </row>
    <row r="43" spans="1:56" ht="12.75" x14ac:dyDescent="0.2">
      <c r="A43" s="1"/>
      <c r="B43" s="6"/>
      <c r="C43" s="26"/>
      <c r="D43" s="26"/>
      <c r="E43" s="26"/>
      <c r="F43" s="26"/>
      <c r="G43" s="26"/>
      <c r="H43" s="26"/>
      <c r="I43" s="26"/>
      <c r="J43" s="28"/>
      <c r="K43" s="28"/>
      <c r="L43" s="28"/>
      <c r="M43" s="7"/>
      <c r="N43" s="8"/>
      <c r="O43" s="1"/>
      <c r="P43" s="6"/>
      <c r="Q43" s="512"/>
      <c r="R43" s="512"/>
      <c r="S43" s="512"/>
      <c r="T43" s="512"/>
      <c r="U43" s="512"/>
      <c r="V43" s="512"/>
      <c r="W43" s="512"/>
      <c r="X43" s="513"/>
      <c r="Y43" s="513"/>
      <c r="Z43" s="513"/>
      <c r="AA43" s="7"/>
      <c r="AB43" s="8"/>
      <c r="AD43" s="6"/>
      <c r="AE43" s="512"/>
      <c r="AF43" s="512"/>
      <c r="AG43" s="512"/>
      <c r="AH43" s="512"/>
      <c r="AI43" s="512"/>
      <c r="AJ43" s="512"/>
      <c r="AK43" s="512"/>
      <c r="AL43" s="513"/>
      <c r="AM43" s="513"/>
      <c r="AN43" s="513"/>
      <c r="AO43" s="7"/>
      <c r="AP43" s="8"/>
      <c r="AR43" s="6"/>
      <c r="AS43" s="512"/>
      <c r="AT43" s="512"/>
      <c r="AU43" s="512"/>
      <c r="AV43" s="512"/>
      <c r="AW43" s="512"/>
      <c r="AX43" s="512"/>
      <c r="AY43" s="512"/>
      <c r="AZ43" s="513"/>
      <c r="BA43" s="513"/>
      <c r="BB43" s="513"/>
      <c r="BC43" s="7"/>
      <c r="BD43" s="8"/>
    </row>
    <row r="44" spans="1:56" ht="12.75" x14ac:dyDescent="0.2">
      <c r="A44" s="1"/>
      <c r="B44" s="6"/>
      <c r="C44" s="1"/>
      <c r="D44" s="1"/>
      <c r="E44" s="1"/>
      <c r="F44" s="1"/>
      <c r="G44" s="1"/>
      <c r="H44" s="1"/>
      <c r="I44" s="1"/>
      <c r="J44" s="1"/>
      <c r="K44" s="1"/>
      <c r="L44" s="1"/>
      <c r="M44" s="7"/>
      <c r="N44" s="8"/>
      <c r="O44" s="1"/>
      <c r="P44" s="6"/>
      <c r="Q44" s="1"/>
      <c r="R44" s="1"/>
      <c r="S44" s="1"/>
      <c r="T44" s="1"/>
      <c r="U44" s="1"/>
      <c r="V44" s="1"/>
      <c r="W44" s="1"/>
      <c r="X44" s="1"/>
      <c r="Y44" s="1"/>
      <c r="Z44" s="1"/>
      <c r="AA44" s="7"/>
      <c r="AB44" s="8"/>
      <c r="AD44" s="6"/>
      <c r="AE44" s="1"/>
      <c r="AF44" s="1"/>
      <c r="AG44" s="1"/>
      <c r="AH44" s="1"/>
      <c r="AI44" s="1"/>
      <c r="AJ44" s="1"/>
      <c r="AK44" s="1"/>
      <c r="AL44" s="1"/>
      <c r="AM44" s="1"/>
      <c r="AN44" s="1"/>
      <c r="AO44" s="7"/>
      <c r="AP44" s="8"/>
      <c r="AR44" s="6"/>
      <c r="AS44" s="1"/>
      <c r="AT44" s="1"/>
      <c r="AU44" s="1"/>
      <c r="AV44" s="1"/>
      <c r="AW44" s="1"/>
      <c r="AX44" s="1"/>
      <c r="AY44" s="1"/>
      <c r="AZ44" s="1"/>
      <c r="BA44" s="1"/>
      <c r="BB44" s="1"/>
      <c r="BC44" s="7"/>
      <c r="BD44" s="8"/>
    </row>
    <row r="45" spans="1:56" ht="12.75" x14ac:dyDescent="0.2">
      <c r="A45" s="1"/>
      <c r="B45" s="6"/>
      <c r="C45" s="1"/>
      <c r="D45" s="1"/>
      <c r="E45" s="1"/>
      <c r="F45" s="1"/>
      <c r="G45" s="1"/>
      <c r="H45" s="1"/>
      <c r="I45" s="1"/>
      <c r="J45" s="1"/>
      <c r="K45" s="1"/>
      <c r="L45" s="1"/>
      <c r="M45" s="7"/>
      <c r="N45" s="8"/>
      <c r="O45" s="1"/>
      <c r="P45" s="6"/>
      <c r="Q45" s="1"/>
      <c r="R45" s="1"/>
      <c r="S45" s="1"/>
      <c r="T45" s="1"/>
      <c r="U45" s="1"/>
      <c r="V45" s="1"/>
      <c r="W45" s="1"/>
      <c r="X45" s="1"/>
      <c r="Y45" s="1"/>
      <c r="Z45" s="1"/>
      <c r="AA45" s="7"/>
      <c r="AB45" s="8"/>
      <c r="AD45" s="6"/>
      <c r="AE45" s="1"/>
      <c r="AF45" s="1"/>
      <c r="AG45" s="1"/>
      <c r="AH45" s="1"/>
      <c r="AI45" s="1"/>
      <c r="AJ45" s="1"/>
      <c r="AK45" s="1"/>
      <c r="AL45" s="1"/>
      <c r="AM45" s="1"/>
      <c r="AN45" s="1"/>
      <c r="AO45" s="7"/>
      <c r="AP45" s="8"/>
      <c r="AR45" s="6"/>
      <c r="AS45" s="1"/>
      <c r="AT45" s="1"/>
      <c r="AU45" s="1"/>
      <c r="AV45" s="1"/>
      <c r="AW45" s="1"/>
      <c r="AX45" s="1"/>
      <c r="AY45" s="1"/>
      <c r="AZ45" s="1"/>
      <c r="BA45" s="1"/>
      <c r="BB45" s="1"/>
      <c r="BC45" s="7"/>
      <c r="BD45" s="8"/>
    </row>
    <row r="46" spans="1:56" ht="12.75" x14ac:dyDescent="0.2">
      <c r="A46" s="1"/>
      <c r="B46" s="6"/>
      <c r="C46" s="29"/>
      <c r="D46" s="1"/>
      <c r="E46" s="1"/>
      <c r="F46" s="1"/>
      <c r="G46" s="1"/>
      <c r="H46" s="1"/>
      <c r="I46" s="1"/>
      <c r="J46" s="1"/>
      <c r="K46" s="1"/>
      <c r="L46" s="1"/>
      <c r="M46" s="7"/>
      <c r="N46" s="8"/>
      <c r="O46" s="1"/>
      <c r="P46" s="6"/>
      <c r="Q46" s="29"/>
      <c r="R46" s="1"/>
      <c r="S46" s="1"/>
      <c r="T46" s="1"/>
      <c r="U46" s="1"/>
      <c r="V46" s="1"/>
      <c r="W46" s="1"/>
      <c r="X46" s="1"/>
      <c r="Y46" s="1"/>
      <c r="Z46" s="1"/>
      <c r="AA46" s="7"/>
      <c r="AB46" s="8"/>
      <c r="AD46" s="6"/>
      <c r="AE46" s="29"/>
      <c r="AF46" s="1"/>
      <c r="AG46" s="1"/>
      <c r="AH46" s="1"/>
      <c r="AI46" s="1"/>
      <c r="AJ46" s="1"/>
      <c r="AK46" s="1"/>
      <c r="AL46" s="1"/>
      <c r="AM46" s="1"/>
      <c r="AN46" s="1"/>
      <c r="AO46" s="7"/>
      <c r="AP46" s="8"/>
      <c r="AR46" s="6"/>
      <c r="AS46" s="29"/>
      <c r="AT46" s="1"/>
      <c r="AU46" s="1"/>
      <c r="AV46" s="1"/>
      <c r="AW46" s="1"/>
      <c r="AX46" s="1"/>
      <c r="AY46" s="1"/>
      <c r="AZ46" s="1"/>
      <c r="BA46" s="1"/>
      <c r="BB46" s="1"/>
      <c r="BC46" s="7"/>
      <c r="BD46" s="8"/>
    </row>
    <row r="47" spans="1:56" ht="12.75" x14ac:dyDescent="0.2">
      <c r="A47" s="1"/>
      <c r="B47" s="6"/>
      <c r="C47" s="29"/>
      <c r="D47" s="1"/>
      <c r="E47" s="1"/>
      <c r="F47" s="1"/>
      <c r="G47" s="1"/>
      <c r="H47" s="1"/>
      <c r="I47" s="1"/>
      <c r="J47" s="1"/>
      <c r="K47" s="1"/>
      <c r="L47" s="1"/>
      <c r="M47" s="7"/>
      <c r="N47" s="8"/>
      <c r="O47" s="1"/>
      <c r="P47" s="6"/>
      <c r="Q47" s="29"/>
      <c r="R47" s="1"/>
      <c r="S47" s="1"/>
      <c r="T47" s="1"/>
      <c r="U47" s="1"/>
      <c r="V47" s="1"/>
      <c r="W47" s="1"/>
      <c r="X47" s="1"/>
      <c r="Y47" s="1"/>
      <c r="Z47" s="1"/>
      <c r="AA47" s="7"/>
      <c r="AB47" s="8"/>
      <c r="AD47" s="6"/>
      <c r="AE47" s="29"/>
      <c r="AF47" s="1"/>
      <c r="AG47" s="1"/>
      <c r="AH47" s="1"/>
      <c r="AI47" s="1"/>
      <c r="AJ47" s="1"/>
      <c r="AK47" s="1"/>
      <c r="AL47" s="1"/>
      <c r="AM47" s="1"/>
      <c r="AN47" s="1"/>
      <c r="AO47" s="7"/>
      <c r="AP47" s="8"/>
      <c r="AR47" s="6"/>
      <c r="AS47" s="29"/>
      <c r="AT47" s="1"/>
      <c r="AU47" s="1"/>
      <c r="AV47" s="1"/>
      <c r="AW47" s="1"/>
      <c r="AX47" s="1"/>
      <c r="AY47" s="1"/>
      <c r="AZ47" s="1"/>
      <c r="BA47" s="1"/>
      <c r="BB47" s="1"/>
      <c r="BC47" s="7"/>
      <c r="BD47" s="8"/>
    </row>
    <row r="48" spans="1:56" ht="12.75" x14ac:dyDescent="0.2">
      <c r="A48" s="1"/>
      <c r="B48" s="6"/>
      <c r="C48" s="29"/>
      <c r="D48" s="1"/>
      <c r="E48" s="1"/>
      <c r="F48" s="1"/>
      <c r="G48" s="1"/>
      <c r="H48" s="1"/>
      <c r="I48" s="1"/>
      <c r="J48" s="1"/>
      <c r="K48" s="1"/>
      <c r="L48" s="1"/>
      <c r="M48" s="7"/>
      <c r="N48" s="8"/>
      <c r="O48" s="1"/>
      <c r="P48" s="6"/>
      <c r="Q48" s="29"/>
      <c r="R48" s="1"/>
      <c r="S48" s="1"/>
      <c r="T48" s="1"/>
      <c r="U48" s="1"/>
      <c r="V48" s="1"/>
      <c r="W48" s="1"/>
      <c r="X48" s="1"/>
      <c r="Y48" s="1"/>
      <c r="Z48" s="1"/>
      <c r="AA48" s="7"/>
      <c r="AB48" s="8"/>
      <c r="AD48" s="6"/>
      <c r="AE48" s="29"/>
      <c r="AF48" s="1"/>
      <c r="AG48" s="1"/>
      <c r="AH48" s="1"/>
      <c r="AI48" s="1"/>
      <c r="AJ48" s="1"/>
      <c r="AK48" s="1"/>
      <c r="AL48" s="1"/>
      <c r="AM48" s="1"/>
      <c r="AN48" s="1"/>
      <c r="AO48" s="7"/>
      <c r="AP48" s="8"/>
      <c r="AR48" s="6"/>
      <c r="AS48" s="29"/>
      <c r="AT48" s="1"/>
      <c r="AU48" s="1"/>
      <c r="AV48" s="1"/>
      <c r="AW48" s="1"/>
      <c r="AX48" s="1"/>
      <c r="AY48" s="1"/>
      <c r="AZ48" s="1"/>
      <c r="BA48" s="1"/>
      <c r="BB48" s="1"/>
      <c r="BC48" s="7"/>
      <c r="BD48" s="8"/>
    </row>
    <row r="49" spans="1:56" ht="12.75" x14ac:dyDescent="0.2">
      <c r="A49" s="1"/>
      <c r="B49" s="6"/>
      <c r="C49" s="1"/>
      <c r="D49" s="1"/>
      <c r="E49" s="1"/>
      <c r="F49" s="1"/>
      <c r="G49" s="1"/>
      <c r="H49" s="1"/>
      <c r="I49" s="1"/>
      <c r="J49" s="1"/>
      <c r="K49" s="1"/>
      <c r="L49" s="1"/>
      <c r="M49" s="7"/>
      <c r="N49" s="8"/>
      <c r="O49" s="1"/>
      <c r="P49" s="6"/>
      <c r="Q49" s="1"/>
      <c r="R49" s="1"/>
      <c r="S49" s="1"/>
      <c r="T49" s="1"/>
      <c r="U49" s="1"/>
      <c r="V49" s="1"/>
      <c r="W49" s="1"/>
      <c r="X49" s="1"/>
      <c r="Y49" s="1"/>
      <c r="Z49" s="1"/>
      <c r="AA49" s="7"/>
      <c r="AB49" s="8"/>
      <c r="AD49" s="6"/>
      <c r="AE49" s="1"/>
      <c r="AF49" s="1"/>
      <c r="AG49" s="1"/>
      <c r="AH49" s="1"/>
      <c r="AI49" s="1"/>
      <c r="AJ49" s="1"/>
      <c r="AK49" s="1"/>
      <c r="AL49" s="1"/>
      <c r="AM49" s="1"/>
      <c r="AN49" s="1"/>
      <c r="AO49" s="7"/>
      <c r="AP49" s="8"/>
      <c r="AR49" s="6"/>
      <c r="AS49" s="1"/>
      <c r="AT49" s="1"/>
      <c r="AU49" s="1"/>
      <c r="AV49" s="1"/>
      <c r="AW49" s="1"/>
      <c r="AX49" s="1"/>
      <c r="AY49" s="1"/>
      <c r="AZ49" s="1"/>
      <c r="BA49" s="1"/>
      <c r="BB49" s="1"/>
      <c r="BC49" s="7"/>
      <c r="BD49" s="8"/>
    </row>
    <row r="50" spans="1:56" ht="12.75" x14ac:dyDescent="0.2">
      <c r="A50" s="1"/>
      <c r="B50" s="6"/>
      <c r="C50" s="1"/>
      <c r="D50" s="1"/>
      <c r="E50" s="1"/>
      <c r="F50" s="1"/>
      <c r="G50" s="1"/>
      <c r="H50" s="1"/>
      <c r="I50" s="1"/>
      <c r="J50" s="1"/>
      <c r="K50" s="1"/>
      <c r="L50" s="1"/>
      <c r="M50" s="7"/>
      <c r="N50" s="8"/>
      <c r="O50" s="1"/>
      <c r="P50" s="6"/>
      <c r="Q50" s="1"/>
      <c r="R50" s="1"/>
      <c r="S50" s="1"/>
      <c r="T50" s="1"/>
      <c r="U50" s="1"/>
      <c r="V50" s="1"/>
      <c r="W50" s="1"/>
      <c r="X50" s="1"/>
      <c r="Y50" s="1"/>
      <c r="Z50" s="1"/>
      <c r="AA50" s="7"/>
      <c r="AB50" s="8"/>
      <c r="AD50" s="6"/>
      <c r="AE50" s="1"/>
      <c r="AF50" s="1"/>
      <c r="AG50" s="1"/>
      <c r="AH50" s="1"/>
      <c r="AI50" s="1"/>
      <c r="AJ50" s="1"/>
      <c r="AK50" s="1"/>
      <c r="AL50" s="1"/>
      <c r="AM50" s="1"/>
      <c r="AN50" s="1"/>
      <c r="AO50" s="7"/>
      <c r="AP50" s="8"/>
      <c r="AR50" s="6"/>
      <c r="AS50" s="1"/>
      <c r="AT50" s="1"/>
      <c r="AU50" s="1"/>
      <c r="AV50" s="1"/>
      <c r="AW50" s="1"/>
      <c r="AX50" s="1"/>
      <c r="AY50" s="1"/>
      <c r="AZ50" s="1"/>
      <c r="BA50" s="1"/>
      <c r="BB50" s="1"/>
      <c r="BC50" s="7"/>
      <c r="BD50" s="8"/>
    </row>
    <row r="51" spans="1:56" ht="12.75" x14ac:dyDescent="0.2">
      <c r="A51" s="1"/>
      <c r="B51" s="6"/>
      <c r="C51" s="1"/>
      <c r="D51" s="1"/>
      <c r="E51" s="1"/>
      <c r="F51" s="1"/>
      <c r="G51" s="1"/>
      <c r="H51" s="1"/>
      <c r="I51" s="1"/>
      <c r="J51" s="1"/>
      <c r="K51" s="1"/>
      <c r="L51" s="1"/>
      <c r="M51" s="7"/>
      <c r="N51" s="8"/>
      <c r="O51" s="1"/>
      <c r="P51" s="6"/>
      <c r="Q51" s="511"/>
      <c r="R51" s="511"/>
      <c r="S51" s="511"/>
      <c r="T51" s="511"/>
      <c r="U51" s="511"/>
      <c r="V51" s="511"/>
      <c r="W51" s="511"/>
      <c r="X51" s="1"/>
      <c r="Y51" s="1"/>
      <c r="Z51" s="1"/>
      <c r="AA51" s="7"/>
      <c r="AB51" s="8"/>
      <c r="AD51" s="6"/>
      <c r="AE51" s="511"/>
      <c r="AF51" s="511"/>
      <c r="AG51" s="511"/>
      <c r="AH51" s="511"/>
      <c r="AI51" s="511"/>
      <c r="AJ51" s="511"/>
      <c r="AK51" s="511"/>
      <c r="AL51" s="1"/>
      <c r="AM51" s="1"/>
      <c r="AN51" s="1"/>
      <c r="AO51" s="7"/>
      <c r="AP51" s="8"/>
      <c r="AR51" s="6"/>
      <c r="AS51" s="511"/>
      <c r="AT51" s="511"/>
      <c r="AU51" s="511"/>
      <c r="AV51" s="511"/>
      <c r="AW51" s="511"/>
      <c r="AX51" s="511"/>
      <c r="AY51" s="511"/>
      <c r="AZ51" s="1"/>
      <c r="BA51" s="1"/>
      <c r="BB51" s="1"/>
      <c r="BC51" s="7"/>
      <c r="BD51" s="8"/>
    </row>
    <row r="52" spans="1:56" ht="12.75" x14ac:dyDescent="0.2">
      <c r="A52" s="1"/>
      <c r="B52" s="6"/>
      <c r="C52" s="1"/>
      <c r="D52" s="1"/>
      <c r="E52" s="1"/>
      <c r="F52" s="1"/>
      <c r="G52" s="1"/>
      <c r="H52" s="1"/>
      <c r="I52" s="1"/>
      <c r="J52" s="1"/>
      <c r="K52" s="1"/>
      <c r="L52" s="1"/>
      <c r="M52" s="7"/>
      <c r="N52" s="8"/>
      <c r="O52" s="1"/>
      <c r="P52" s="6"/>
      <c r="Q52" s="1"/>
      <c r="R52" s="1"/>
      <c r="S52" s="1"/>
      <c r="T52" s="1"/>
      <c r="U52" s="1"/>
      <c r="V52" s="1"/>
      <c r="W52" s="1"/>
      <c r="X52" s="1"/>
      <c r="Y52" s="1"/>
      <c r="Z52" s="1"/>
      <c r="AA52" s="7"/>
      <c r="AB52" s="8"/>
      <c r="AD52" s="6"/>
      <c r="AE52" s="1"/>
      <c r="AF52" s="1"/>
      <c r="AG52" s="1"/>
      <c r="AH52" s="1"/>
      <c r="AI52" s="1"/>
      <c r="AJ52" s="1"/>
      <c r="AK52" s="1"/>
      <c r="AL52" s="1"/>
      <c r="AM52" s="1"/>
      <c r="AN52" s="1"/>
      <c r="AO52" s="7"/>
      <c r="AP52" s="8"/>
      <c r="AR52" s="6"/>
      <c r="AS52" s="1"/>
      <c r="AT52" s="1"/>
      <c r="AU52" s="1"/>
      <c r="AV52" s="1"/>
      <c r="AW52" s="1"/>
      <c r="AX52" s="1"/>
      <c r="AY52" s="1"/>
      <c r="AZ52" s="1"/>
      <c r="BA52" s="1"/>
      <c r="BB52" s="1"/>
      <c r="BC52" s="7"/>
      <c r="BD52" s="8"/>
    </row>
    <row r="53" spans="1:56" ht="13.5" x14ac:dyDescent="0.25">
      <c r="A53" s="1"/>
      <c r="B53" s="6"/>
      <c r="C53" s="30"/>
      <c r="D53" s="1"/>
      <c r="E53" s="1"/>
      <c r="F53" s="1"/>
      <c r="G53" s="1"/>
      <c r="H53" s="1"/>
      <c r="I53" s="1"/>
      <c r="J53" s="1"/>
      <c r="K53" s="30"/>
      <c r="L53" s="1"/>
      <c r="M53" s="7"/>
      <c r="N53" s="8"/>
      <c r="O53" s="1"/>
      <c r="P53" s="6"/>
      <c r="Q53" s="30"/>
      <c r="R53" s="1"/>
      <c r="S53" s="1"/>
      <c r="T53" s="1"/>
      <c r="U53" s="1"/>
      <c r="V53" s="1"/>
      <c r="W53" s="1"/>
      <c r="X53" s="1"/>
      <c r="Y53" s="30"/>
      <c r="Z53" s="1"/>
      <c r="AA53" s="7"/>
      <c r="AB53" s="8"/>
      <c r="AD53" s="6"/>
      <c r="AE53" s="30"/>
      <c r="AF53" s="1"/>
      <c r="AG53" s="1"/>
      <c r="AH53" s="1"/>
      <c r="AI53" s="1"/>
      <c r="AJ53" s="1"/>
      <c r="AK53" s="1"/>
      <c r="AL53" s="1"/>
      <c r="AM53" s="30"/>
      <c r="AN53" s="1"/>
      <c r="AO53" s="7"/>
      <c r="AP53" s="8"/>
      <c r="AR53" s="6"/>
      <c r="AS53" s="30"/>
      <c r="AT53" s="1"/>
      <c r="AU53" s="1"/>
      <c r="AV53" s="1"/>
      <c r="AW53" s="1"/>
      <c r="AX53" s="1"/>
      <c r="AY53" s="1"/>
      <c r="AZ53" s="1"/>
      <c r="BA53" s="30"/>
      <c r="BB53" s="1"/>
      <c r="BC53" s="7"/>
      <c r="BD53" s="8"/>
    </row>
    <row r="54" spans="1:56" ht="15.75" x14ac:dyDescent="0.25">
      <c r="A54" s="1"/>
      <c r="B54" s="31"/>
      <c r="C54" s="32"/>
      <c r="D54" s="32"/>
      <c r="E54" s="32"/>
      <c r="F54" s="32"/>
      <c r="G54" s="32"/>
      <c r="H54" s="32"/>
      <c r="I54" s="32"/>
      <c r="J54" s="32"/>
      <c r="K54" s="32"/>
      <c r="L54" s="32"/>
      <c r="M54" s="33"/>
      <c r="N54" s="8"/>
      <c r="O54" s="1"/>
      <c r="P54" s="31"/>
      <c r="Q54" s="32"/>
      <c r="R54" s="32"/>
      <c r="S54" s="32"/>
      <c r="T54" s="32"/>
      <c r="U54" s="32"/>
      <c r="V54" s="32"/>
      <c r="W54" s="32"/>
      <c r="X54" s="32"/>
      <c r="Y54" s="32"/>
      <c r="Z54" s="32"/>
      <c r="AA54" s="33"/>
      <c r="AB54" s="8"/>
      <c r="AD54" s="31"/>
      <c r="AE54" s="32"/>
      <c r="AF54" s="32"/>
      <c r="AG54" s="32"/>
      <c r="AH54" s="32"/>
      <c r="AI54" s="32"/>
      <c r="AJ54" s="32"/>
      <c r="AK54" s="32"/>
      <c r="AL54" s="32"/>
      <c r="AM54" s="32"/>
      <c r="AN54" s="32"/>
      <c r="AO54" s="33"/>
      <c r="AP54" s="8"/>
      <c r="AR54" s="31"/>
      <c r="AS54" s="32"/>
      <c r="AT54" s="32"/>
      <c r="AU54" s="32"/>
      <c r="AV54" s="32"/>
      <c r="AW54" s="32"/>
      <c r="AX54" s="32"/>
      <c r="AY54" s="32"/>
      <c r="AZ54" s="32"/>
      <c r="BA54" s="32"/>
      <c r="BB54" s="32"/>
      <c r="BC54" s="33"/>
      <c r="BD54" s="8"/>
    </row>
    <row r="55" spans="1:56" ht="6" customHeight="1" x14ac:dyDescent="0.2">
      <c r="A55" s="1"/>
      <c r="B55" s="1"/>
      <c r="C55" s="8"/>
      <c r="D55" s="8"/>
      <c r="E55" s="8"/>
      <c r="F55" s="8"/>
      <c r="G55" s="8"/>
      <c r="H55" s="8"/>
      <c r="I55" s="8"/>
      <c r="J55" s="8"/>
      <c r="K55" s="8"/>
      <c r="L55" s="8"/>
      <c r="M55" s="8"/>
      <c r="N55" s="8"/>
      <c r="O55" s="1"/>
      <c r="P55" s="1"/>
      <c r="Q55" s="8"/>
      <c r="R55" s="8"/>
      <c r="S55" s="8"/>
      <c r="T55" s="8"/>
      <c r="U55" s="8"/>
      <c r="V55" s="8"/>
      <c r="W55" s="8"/>
      <c r="X55" s="8"/>
      <c r="Y55" s="8"/>
      <c r="Z55" s="8"/>
      <c r="AA55" s="8"/>
      <c r="AB55" s="8"/>
      <c r="AD55" s="1"/>
      <c r="AE55" s="8"/>
      <c r="AF55" s="8"/>
      <c r="AG55" s="8"/>
      <c r="AH55" s="8"/>
      <c r="AI55" s="8"/>
      <c r="AJ55" s="8"/>
      <c r="AK55" s="8"/>
      <c r="AL55" s="8"/>
      <c r="AM55" s="8"/>
      <c r="AN55" s="8"/>
      <c r="AO55" s="8"/>
      <c r="AP55" s="8"/>
      <c r="AR55" s="1"/>
      <c r="AS55" s="8"/>
      <c r="AT55" s="8"/>
      <c r="AU55" s="8"/>
      <c r="AV55" s="8"/>
      <c r="AW55" s="8"/>
      <c r="AX55" s="8"/>
      <c r="AY55" s="8"/>
      <c r="AZ55" s="8"/>
      <c r="BA55" s="8"/>
      <c r="BB55" s="8"/>
      <c r="BC55" s="8"/>
      <c r="BD55" s="8"/>
    </row>
    <row r="56" spans="1:56" ht="12.7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D56" s="1"/>
      <c r="AE56" s="1"/>
      <c r="AF56" s="1"/>
      <c r="AG56" s="1"/>
      <c r="AH56" s="1"/>
      <c r="AI56" s="1"/>
      <c r="AJ56" s="1"/>
      <c r="AK56" s="1"/>
      <c r="AL56" s="1"/>
      <c r="AM56" s="1"/>
      <c r="AN56" s="1"/>
      <c r="AO56" s="1"/>
      <c r="AP56" s="1"/>
      <c r="AR56" s="1"/>
      <c r="AS56" s="1"/>
      <c r="AT56" s="1"/>
      <c r="AU56" s="1"/>
      <c r="AV56" s="1"/>
      <c r="AW56" s="1"/>
      <c r="AX56" s="1"/>
      <c r="AY56" s="1"/>
      <c r="AZ56" s="1"/>
      <c r="BA56" s="1"/>
      <c r="BB56" s="1"/>
      <c r="BC56" s="1"/>
      <c r="BD56" s="1"/>
    </row>
    <row r="57" spans="1:56" ht="12.75" hidden="1" customHeight="1" x14ac:dyDescent="0.2"/>
    <row r="58" spans="1:56" ht="12.75" hidden="1" customHeight="1" x14ac:dyDescent="0.2"/>
    <row r="59" spans="1:56" ht="12.75" hidden="1" customHeight="1" x14ac:dyDescent="0.2"/>
    <row r="60" spans="1:56" ht="12.75" hidden="1" customHeight="1" x14ac:dyDescent="0.2"/>
  </sheetData>
  <sheetProtection selectLockedCells="1"/>
  <mergeCells count="136">
    <mergeCell ref="S10:Z10"/>
    <mergeCell ref="AG10:AN10"/>
    <mergeCell ref="AU10:BB10"/>
    <mergeCell ref="S12:Z12"/>
    <mergeCell ref="AG12:AN12"/>
    <mergeCell ref="AU12:BB12"/>
    <mergeCell ref="C3:L3"/>
    <mergeCell ref="Q3:Z3"/>
    <mergeCell ref="AE3:AN3"/>
    <mergeCell ref="AS3:BB3"/>
    <mergeCell ref="S8:Z8"/>
    <mergeCell ref="AG8:AN8"/>
    <mergeCell ref="AU8:BB8"/>
    <mergeCell ref="S14:Z14"/>
    <mergeCell ref="AG14:AN14"/>
    <mergeCell ref="AU14:BB14"/>
    <mergeCell ref="S16:T16"/>
    <mergeCell ref="U16:X16"/>
    <mergeCell ref="Y16:Z16"/>
    <mergeCell ref="AG16:AH16"/>
    <mergeCell ref="AI16:AL16"/>
    <mergeCell ref="AM16:AN16"/>
    <mergeCell ref="AU16:AV16"/>
    <mergeCell ref="S22:Z22"/>
    <mergeCell ref="AG22:AN22"/>
    <mergeCell ref="AU22:BB22"/>
    <mergeCell ref="S23:Z23"/>
    <mergeCell ref="AG23:AN23"/>
    <mergeCell ref="AU23:BB23"/>
    <mergeCell ref="AW16:AZ16"/>
    <mergeCell ref="BA16:BB16"/>
    <mergeCell ref="S18:Z18"/>
    <mergeCell ref="AG18:AN18"/>
    <mergeCell ref="AU18:BB18"/>
    <mergeCell ref="S20:Z20"/>
    <mergeCell ref="AG20:AN20"/>
    <mergeCell ref="AU20:BB20"/>
    <mergeCell ref="Q29:W29"/>
    <mergeCell ref="X29:Z29"/>
    <mergeCell ref="AE29:AK29"/>
    <mergeCell ref="AL29:AN29"/>
    <mergeCell ref="AS29:AY29"/>
    <mergeCell ref="AZ29:BB29"/>
    <mergeCell ref="S24:Z24"/>
    <mergeCell ref="AG24:AN24"/>
    <mergeCell ref="AU24:BB24"/>
    <mergeCell ref="S26:T26"/>
    <mergeCell ref="V26:Z26"/>
    <mergeCell ref="AG26:AH26"/>
    <mergeCell ref="AJ26:AN26"/>
    <mergeCell ref="AU26:AV26"/>
    <mergeCell ref="AX26:BB26"/>
    <mergeCell ref="Q31:W31"/>
    <mergeCell ref="X31:Z31"/>
    <mergeCell ref="AE31:AK31"/>
    <mergeCell ref="AL31:AN31"/>
    <mergeCell ref="AS31:AY31"/>
    <mergeCell ref="AZ31:BB31"/>
    <mergeCell ref="Q30:W30"/>
    <mergeCell ref="X30:Z30"/>
    <mergeCell ref="AE30:AK30"/>
    <mergeCell ref="AL30:AN30"/>
    <mergeCell ref="AS30:AY30"/>
    <mergeCell ref="AZ30:BB30"/>
    <mergeCell ref="Q34:W34"/>
    <mergeCell ref="X34:Z34"/>
    <mergeCell ref="AE34:AK34"/>
    <mergeCell ref="AL34:AN34"/>
    <mergeCell ref="AS34:AY34"/>
    <mergeCell ref="AZ34:BB34"/>
    <mergeCell ref="Q32:Z32"/>
    <mergeCell ref="AE32:AN32"/>
    <mergeCell ref="AS32:BB32"/>
    <mergeCell ref="Q33:W33"/>
    <mergeCell ref="X33:Z33"/>
    <mergeCell ref="AE33:AK33"/>
    <mergeCell ref="AL33:AN33"/>
    <mergeCell ref="AS33:AY33"/>
    <mergeCell ref="AZ33:BB33"/>
    <mergeCell ref="Q36:W36"/>
    <mergeCell ref="X36:Z36"/>
    <mergeCell ref="AE36:AK36"/>
    <mergeCell ref="AL36:AN36"/>
    <mergeCell ref="AS36:AY36"/>
    <mergeCell ref="AZ36:BB36"/>
    <mergeCell ref="Q35:W35"/>
    <mergeCell ref="X35:Z35"/>
    <mergeCell ref="AE35:AK35"/>
    <mergeCell ref="AL35:AN35"/>
    <mergeCell ref="AS35:AY35"/>
    <mergeCell ref="AZ35:BB35"/>
    <mergeCell ref="Q38:W38"/>
    <mergeCell ref="X38:Z38"/>
    <mergeCell ref="AE38:AK38"/>
    <mergeCell ref="AL38:AN38"/>
    <mergeCell ref="AS38:AY38"/>
    <mergeCell ref="AZ38:BB38"/>
    <mergeCell ref="Q37:W37"/>
    <mergeCell ref="X37:Z37"/>
    <mergeCell ref="AE37:AK37"/>
    <mergeCell ref="AL37:AN37"/>
    <mergeCell ref="AS37:AY37"/>
    <mergeCell ref="AZ37:BB37"/>
    <mergeCell ref="Q40:W40"/>
    <mergeCell ref="X40:Z40"/>
    <mergeCell ref="AE40:AK40"/>
    <mergeCell ref="AL40:AN40"/>
    <mergeCell ref="AS40:AY40"/>
    <mergeCell ref="AZ40:BB40"/>
    <mergeCell ref="Q39:W39"/>
    <mergeCell ref="X39:Z39"/>
    <mergeCell ref="AE39:AK39"/>
    <mergeCell ref="AL39:AN39"/>
    <mergeCell ref="AS39:AY39"/>
    <mergeCell ref="AZ39:BB39"/>
    <mergeCell ref="Q42:W42"/>
    <mergeCell ref="X42:Z42"/>
    <mergeCell ref="AE42:AK42"/>
    <mergeCell ref="AL42:AN42"/>
    <mergeCell ref="AS42:AY42"/>
    <mergeCell ref="AZ42:BB42"/>
    <mergeCell ref="Q41:W41"/>
    <mergeCell ref="X41:Z41"/>
    <mergeCell ref="AE41:AK41"/>
    <mergeCell ref="AL41:AN41"/>
    <mergeCell ref="AS41:AY41"/>
    <mergeCell ref="AZ41:BB41"/>
    <mergeCell ref="Q51:W51"/>
    <mergeCell ref="AE51:AK51"/>
    <mergeCell ref="AS51:AY51"/>
    <mergeCell ref="Q43:W43"/>
    <mergeCell ref="X43:Z43"/>
    <mergeCell ref="AE43:AK43"/>
    <mergeCell ref="AL43:AN43"/>
    <mergeCell ref="AS43:AY43"/>
    <mergeCell ref="AZ43:BB43"/>
  </mergeCells>
  <pageMargins left="0.18" right="0.16" top="0.78" bottom="0.61" header="0.5" footer="0.5"/>
  <pageSetup paperSize="9" orientation="portrait" r:id="rId1"/>
  <headerFooter alignWithMargins="0">
    <oddFooter>&amp;C_x000D_&amp;1#&amp;"Calibri"&amp;12&amp;K000000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43F3B-5CD2-4507-913E-E34BD9B70639}">
  <sheetPr codeName="Sheet23"/>
  <dimension ref="A1:IS70"/>
  <sheetViews>
    <sheetView workbookViewId="0">
      <selection activeCell="C41" sqref="C41:M71"/>
    </sheetView>
  </sheetViews>
  <sheetFormatPr defaultColWidth="0" defaultRowHeight="0" customHeight="1" zeroHeight="1" x14ac:dyDescent="0.2"/>
  <cols>
    <col min="1" max="2" width="2.42578125" style="2" customWidth="1"/>
    <col min="3" max="3" width="25.85546875" style="2" customWidth="1"/>
    <col min="4" max="4" width="33.7109375" style="2" customWidth="1"/>
    <col min="5" max="5" width="9" style="2" customWidth="1"/>
    <col min="6" max="6" width="7.42578125" style="2" customWidth="1"/>
    <col min="7" max="7" width="4" style="2" customWidth="1"/>
    <col min="8" max="9" width="11.140625" style="2" customWidth="1"/>
    <col min="10" max="10" width="15.7109375" style="2" customWidth="1"/>
    <col min="11" max="11" width="28.7109375" style="2" customWidth="1"/>
    <col min="12" max="12" width="40.140625" style="497" customWidth="1"/>
    <col min="13" max="13" width="2.140625" style="2" customWidth="1"/>
    <col min="14" max="14" width="2.42578125" style="1" customWidth="1"/>
    <col min="15" max="16" width="4.5703125" style="2" hidden="1" customWidth="1"/>
    <col min="17" max="17" width="4.5703125" style="16" hidden="1" customWidth="1"/>
    <col min="18" max="18" width="2.42578125" style="1" hidden="1" customWidth="1"/>
    <col min="19" max="16384" width="8.85546875" style="2" hidden="1"/>
  </cols>
  <sheetData>
    <row r="1" spans="1:253" ht="12.75" x14ac:dyDescent="0.2">
      <c r="A1" s="214"/>
      <c r="B1" s="214"/>
      <c r="C1" s="214"/>
      <c r="D1" s="214"/>
      <c r="E1" s="214"/>
      <c r="F1" s="277"/>
      <c r="G1" s="214"/>
      <c r="H1" s="214"/>
      <c r="I1" s="214"/>
      <c r="J1" s="278"/>
      <c r="K1" s="278"/>
      <c r="L1" s="470"/>
      <c r="M1" s="214"/>
      <c r="N1" s="16"/>
      <c r="O1" s="214"/>
      <c r="P1" s="214"/>
      <c r="Q1" s="279"/>
    </row>
    <row r="2" spans="1:253" ht="12.75" x14ac:dyDescent="0.2">
      <c r="A2" s="214"/>
      <c r="B2" s="280"/>
      <c r="C2" s="281"/>
      <c r="D2" s="281"/>
      <c r="E2" s="281"/>
      <c r="F2" s="282"/>
      <c r="G2" s="281"/>
      <c r="H2" s="281"/>
      <c r="I2" s="281"/>
      <c r="J2" s="283"/>
      <c r="K2" s="283"/>
      <c r="L2" s="493"/>
      <c r="M2" s="284"/>
      <c r="N2" s="16"/>
      <c r="O2" s="214"/>
      <c r="P2" s="214"/>
      <c r="Q2" s="279"/>
    </row>
    <row r="3" spans="1:253" ht="23.25" thickBot="1" x14ac:dyDescent="0.25">
      <c r="A3" s="214"/>
      <c r="B3" s="215"/>
      <c r="C3" s="639" t="s">
        <v>540</v>
      </c>
      <c r="D3" s="639"/>
      <c r="E3" s="639"/>
      <c r="F3" s="639"/>
      <c r="G3" s="639"/>
      <c r="H3" s="639"/>
      <c r="I3" s="639"/>
      <c r="J3" s="639"/>
      <c r="K3" s="639"/>
      <c r="L3" s="639"/>
      <c r="M3" s="285"/>
      <c r="N3" s="286"/>
      <c r="O3" s="287"/>
      <c r="P3" s="287"/>
      <c r="Q3" s="288"/>
    </row>
    <row r="4" spans="1:253" ht="22.5" customHeight="1" x14ac:dyDescent="0.2">
      <c r="A4" s="1"/>
      <c r="B4" s="6"/>
      <c r="C4" s="89" t="s">
        <v>651</v>
      </c>
      <c r="D4" s="90"/>
      <c r="E4" s="90"/>
      <c r="F4" s="91"/>
      <c r="G4" s="91"/>
      <c r="H4" s="92"/>
      <c r="I4" s="92"/>
      <c r="J4" s="92"/>
      <c r="K4" s="93" t="s">
        <v>542</v>
      </c>
      <c r="L4" s="463">
        <f>Total_Liability</f>
        <v>3235.6385328442129</v>
      </c>
      <c r="M4" s="7"/>
      <c r="O4" s="1"/>
      <c r="P4" s="1"/>
      <c r="Q4" s="1"/>
    </row>
    <row r="5" spans="1:253" ht="12.75" customHeight="1" x14ac:dyDescent="0.2">
      <c r="A5" s="94"/>
      <c r="B5" s="95"/>
      <c r="C5" s="96"/>
      <c r="D5" s="97"/>
      <c r="E5" s="97"/>
      <c r="F5" s="98"/>
      <c r="G5" s="98"/>
      <c r="H5" s="99"/>
      <c r="I5" s="99"/>
      <c r="J5" s="99"/>
      <c r="K5" s="100" t="s">
        <v>543</v>
      </c>
      <c r="L5" s="464">
        <f>J51</f>
        <v>0</v>
      </c>
      <c r="M5" s="101"/>
      <c r="N5" s="102"/>
      <c r="O5" s="94"/>
      <c r="P5" s="94"/>
      <c r="Q5" s="94"/>
    </row>
    <row r="6" spans="1:253" ht="12.75" customHeight="1" x14ac:dyDescent="0.25">
      <c r="A6" s="103"/>
      <c r="B6" s="104"/>
      <c r="C6" s="105"/>
      <c r="D6" s="106"/>
      <c r="E6" s="106"/>
      <c r="G6" s="107"/>
      <c r="H6" s="107"/>
      <c r="J6" s="108"/>
      <c r="K6" s="1"/>
      <c r="L6" s="457"/>
      <c r="M6" s="109"/>
      <c r="N6" s="16"/>
      <c r="O6" s="110"/>
      <c r="P6" s="103"/>
      <c r="Q6" s="110"/>
    </row>
    <row r="7" spans="1:253" ht="12.75" customHeight="1" thickBot="1" x14ac:dyDescent="0.25">
      <c r="A7" s="110"/>
      <c r="B7" s="111"/>
      <c r="C7" s="112" t="s">
        <v>544</v>
      </c>
      <c r="D7" s="97"/>
      <c r="E7" s="97"/>
      <c r="F7" s="112"/>
      <c r="G7" s="98"/>
      <c r="H7" s="107"/>
      <c r="I7" s="1"/>
      <c r="J7" s="1"/>
      <c r="K7" s="1"/>
      <c r="L7" s="465" t="s">
        <v>545</v>
      </c>
      <c r="M7" s="113"/>
      <c r="N7" s="102"/>
      <c r="O7" s="110"/>
      <c r="P7" s="110"/>
      <c r="Q7" s="110"/>
    </row>
    <row r="8" spans="1:253" ht="12.75" customHeight="1" x14ac:dyDescent="0.2">
      <c r="A8" s="94"/>
      <c r="B8" s="95"/>
      <c r="C8" s="640"/>
      <c r="D8" s="641"/>
      <c r="E8" s="114"/>
      <c r="F8" s="646"/>
      <c r="G8" s="646"/>
      <c r="H8" s="646"/>
      <c r="I8" s="646"/>
      <c r="J8" s="647"/>
      <c r="K8" s="647"/>
      <c r="L8" s="466" t="s">
        <v>546</v>
      </c>
      <c r="M8" s="101"/>
      <c r="N8" s="16"/>
      <c r="O8" s="94"/>
      <c r="P8" s="94"/>
      <c r="Q8" s="94"/>
    </row>
    <row r="9" spans="1:253" ht="12.75" customHeight="1" x14ac:dyDescent="0.2">
      <c r="A9" s="94"/>
      <c r="B9" s="95"/>
      <c r="C9" s="642"/>
      <c r="D9" s="643"/>
      <c r="E9" s="114"/>
      <c r="F9" s="646"/>
      <c r="G9" s="646"/>
      <c r="H9" s="646"/>
      <c r="I9" s="646"/>
      <c r="J9" s="648"/>
      <c r="K9" s="648"/>
      <c r="L9" s="467" t="s">
        <v>547</v>
      </c>
      <c r="M9" s="101"/>
      <c r="N9" s="16"/>
      <c r="O9" s="94"/>
      <c r="P9" s="94"/>
      <c r="Q9" s="94"/>
    </row>
    <row r="10" spans="1:253" ht="12.75" customHeight="1" x14ac:dyDescent="0.2">
      <c r="A10" s="94"/>
      <c r="B10" s="95"/>
      <c r="C10" s="642"/>
      <c r="D10" s="643"/>
      <c r="E10" s="114"/>
      <c r="F10" s="646"/>
      <c r="G10" s="646"/>
      <c r="H10" s="646"/>
      <c r="I10" s="646"/>
      <c r="J10" s="648"/>
      <c r="K10" s="648"/>
      <c r="L10" s="468" t="s">
        <v>548</v>
      </c>
      <c r="M10" s="101"/>
      <c r="N10" s="16"/>
      <c r="O10" s="94"/>
      <c r="P10" s="94"/>
      <c r="Q10" s="94"/>
    </row>
    <row r="11" spans="1:253" ht="12.75" customHeight="1" x14ac:dyDescent="0.2">
      <c r="A11" s="94"/>
      <c r="B11" s="95"/>
      <c r="C11" s="642"/>
      <c r="D11" s="643"/>
      <c r="E11" s="114"/>
      <c r="F11" s="646"/>
      <c r="G11" s="646"/>
      <c r="H11" s="646"/>
      <c r="I11" s="646"/>
      <c r="J11" s="648"/>
      <c r="K11" s="648"/>
      <c r="L11" s="469" t="s">
        <v>549</v>
      </c>
      <c r="M11" s="101"/>
      <c r="N11" s="102"/>
      <c r="O11" s="94"/>
      <c r="P11" s="94"/>
      <c r="Q11" s="94"/>
    </row>
    <row r="12" spans="1:253" ht="12.75" customHeight="1" thickBot="1" x14ac:dyDescent="0.25">
      <c r="A12" s="107"/>
      <c r="B12" s="117"/>
      <c r="C12" s="644"/>
      <c r="D12" s="645"/>
      <c r="E12" s="97"/>
      <c r="F12" s="98"/>
      <c r="G12" s="118"/>
      <c r="H12" s="119"/>
      <c r="I12" s="119"/>
      <c r="J12" s="99"/>
      <c r="K12" s="99"/>
      <c r="L12" s="470"/>
      <c r="M12" s="120"/>
      <c r="N12" s="102"/>
      <c r="O12" s="107"/>
      <c r="P12" s="107"/>
      <c r="Q12" s="107"/>
      <c r="S12" s="121"/>
    </row>
    <row r="13" spans="1:253" ht="12.75" customHeight="1" thickBot="1" x14ac:dyDescent="0.25">
      <c r="A13" s="107"/>
      <c r="B13" s="117"/>
      <c r="C13" s="122"/>
      <c r="D13" s="97"/>
      <c r="E13" s="97"/>
      <c r="F13" s="98"/>
      <c r="G13" s="98"/>
      <c r="H13" s="119"/>
      <c r="I13" s="119"/>
      <c r="J13" s="289"/>
      <c r="K13" s="289"/>
      <c r="L13" s="470"/>
      <c r="M13" s="120"/>
      <c r="N13" s="102"/>
      <c r="O13" s="107"/>
      <c r="P13" s="107"/>
      <c r="Q13" s="107"/>
      <c r="IS13" s="96"/>
    </row>
    <row r="14" spans="1:253" ht="23.25" thickBot="1" x14ac:dyDescent="0.25">
      <c r="A14" s="96"/>
      <c r="B14" s="290"/>
      <c r="C14" s="291" t="s">
        <v>550</v>
      </c>
      <c r="D14" s="292" t="s">
        <v>551</v>
      </c>
      <c r="E14" s="293" t="s">
        <v>552</v>
      </c>
      <c r="F14" s="292" t="s">
        <v>553</v>
      </c>
      <c r="G14" s="292" t="s">
        <v>32</v>
      </c>
      <c r="H14" s="294" t="s">
        <v>554</v>
      </c>
      <c r="I14" s="294" t="s">
        <v>555</v>
      </c>
      <c r="J14" s="295" t="s">
        <v>556</v>
      </c>
      <c r="K14" s="295" t="s">
        <v>557</v>
      </c>
      <c r="L14" s="494" t="s">
        <v>558</v>
      </c>
      <c r="M14" s="296"/>
      <c r="N14" s="102"/>
      <c r="O14" s="129" t="s">
        <v>559</v>
      </c>
      <c r="P14" s="129" t="s">
        <v>560</v>
      </c>
      <c r="Q14" s="129" t="s">
        <v>561</v>
      </c>
    </row>
    <row r="15" spans="1:253" ht="22.5" x14ac:dyDescent="0.2">
      <c r="A15" s="214"/>
      <c r="B15" s="215"/>
      <c r="C15" s="613" t="s">
        <v>652</v>
      </c>
      <c r="D15" s="225" t="str">
        <f>VLOOKUP($P15,TOV!$A$4:$E$65536,2,FALSE)</f>
        <v>Minor pushing, final trim, rock rake &amp; deep rip (minor shaping and landscaping)</v>
      </c>
      <c r="E15" s="210" t="s">
        <v>515</v>
      </c>
      <c r="F15" s="226"/>
      <c r="G15" s="133" t="s">
        <v>47</v>
      </c>
      <c r="H15" s="212">
        <f>VLOOKUP($P15,TOV!$A$4:$E$65536,4,FALSE)</f>
        <v>1328.5108262753702</v>
      </c>
      <c r="I15" s="135"/>
      <c r="J15" s="228">
        <f>IF($E15="Y",IF(I15=0,F15*H15,F15*I15),"")</f>
        <v>0</v>
      </c>
      <c r="K15" s="229"/>
      <c r="L15" s="478" t="s">
        <v>653</v>
      </c>
      <c r="M15" s="120"/>
      <c r="N15" s="16"/>
      <c r="O15" s="297">
        <f>IF(I15="",0,1)</f>
        <v>0</v>
      </c>
      <c r="P15" s="298" t="s">
        <v>275</v>
      </c>
      <c r="Q15" s="299"/>
    </row>
    <row r="16" spans="1:253" ht="27" x14ac:dyDescent="0.2">
      <c r="A16" s="214"/>
      <c r="B16" s="215"/>
      <c r="C16" s="614"/>
      <c r="D16" s="180" t="str">
        <f>VLOOKUP($P16,TOV!$A$4:$E$65536,2,FALSE)</f>
        <v>Purchase of capping material where there is a shortage on site</v>
      </c>
      <c r="E16" s="148" t="s">
        <v>515</v>
      </c>
      <c r="F16" s="155"/>
      <c r="G16" s="161" t="s">
        <v>38</v>
      </c>
      <c r="H16" s="156">
        <f>VLOOKUP($P16,TOV!$A$4:$E$65536,4,FALSE)</f>
        <v>24.370055009999998</v>
      </c>
      <c r="I16" s="163"/>
      <c r="J16" s="136">
        <f>IF($E16="Y",IF(I16=0,IF(H16="Use 1st principles to build a rate","",F16*H16),F16*I16),"")</f>
        <v>0</v>
      </c>
      <c r="K16" s="157"/>
      <c r="L16" s="475" t="s">
        <v>642</v>
      </c>
      <c r="M16" s="120"/>
      <c r="N16" s="158"/>
      <c r="O16" s="258">
        <f t="shared" ref="O16" si="0">IF(I16="",0,1)</f>
        <v>0</v>
      </c>
      <c r="P16" s="259" t="s">
        <v>643</v>
      </c>
      <c r="Q16" s="300"/>
    </row>
    <row r="17" spans="1:17" ht="12.75" customHeight="1" x14ac:dyDescent="0.2">
      <c r="A17" s="214"/>
      <c r="B17" s="215"/>
      <c r="C17" s="614"/>
      <c r="D17" s="621" t="str">
        <f>VLOOKUP($P17,TOV!$A$4:$E$65536,2,FALSE)</f>
        <v xml:space="preserve">Source local material, cart and spread suitable material to cap the waste rock dump (cap thickness determined by approval/licence) </v>
      </c>
      <c r="E17" s="623" t="s">
        <v>515</v>
      </c>
      <c r="F17" s="625"/>
      <c r="G17" s="627" t="s">
        <v>82</v>
      </c>
      <c r="H17" s="629" t="str">
        <f>VLOOKUP($P17,TOV!$A$4:$E$65536,4,FALSE)</f>
        <v>Select from List</v>
      </c>
      <c r="I17" s="659"/>
      <c r="J17" s="633" t="str">
        <f>IF($E17="Y",IF(I17=0,IF(H17="Select From List","",F17*H17),F17*I17),"")</f>
        <v/>
      </c>
      <c r="K17" s="137" t="s">
        <v>514</v>
      </c>
      <c r="L17" s="635" t="s">
        <v>654</v>
      </c>
      <c r="M17" s="708"/>
      <c r="N17" s="612"/>
      <c r="O17" s="694">
        <f>IF(I17="",0,1)</f>
        <v>0</v>
      </c>
      <c r="P17" s="703" t="str">
        <f>IF(Q17=1,"X234",IF(Q17=2,"X235",IF(Q17=3,"X236",IF(Q17=4,"X237",IF(Q17=5,"X238","X234")))))</f>
        <v>X234</v>
      </c>
      <c r="Q17" s="698">
        <f>VLOOKUP(K17,Select_Haul_Distance_Index,2,FALSE)</f>
        <v>1</v>
      </c>
    </row>
    <row r="18" spans="1:17" ht="27" customHeight="1" thickBot="1" x14ac:dyDescent="0.25">
      <c r="A18" s="214"/>
      <c r="B18" s="215"/>
      <c r="C18" s="620"/>
      <c r="D18" s="622"/>
      <c r="E18" s="624"/>
      <c r="F18" s="626"/>
      <c r="G18" s="628"/>
      <c r="H18" s="630"/>
      <c r="I18" s="707"/>
      <c r="J18" s="634"/>
      <c r="K18" s="188"/>
      <c r="L18" s="636"/>
      <c r="M18" s="708"/>
      <c r="N18" s="612"/>
      <c r="O18" s="702"/>
      <c r="P18" s="704"/>
      <c r="Q18" s="705"/>
    </row>
    <row r="19" spans="1:17" ht="13.5" thickBot="1" x14ac:dyDescent="0.25">
      <c r="A19" s="214"/>
      <c r="B19" s="215"/>
      <c r="C19" s="260"/>
      <c r="D19" s="270"/>
      <c r="E19" s="270"/>
      <c r="F19" s="301" t="s">
        <v>573</v>
      </c>
      <c r="G19" s="263"/>
      <c r="H19" s="264"/>
      <c r="I19" s="264"/>
      <c r="J19" s="265">
        <f>SUM(J15:J17)</f>
        <v>0</v>
      </c>
      <c r="K19" s="265"/>
      <c r="L19" s="495"/>
      <c r="M19" s="120"/>
      <c r="N19" s="158"/>
      <c r="O19" s="569"/>
      <c r="P19" s="570"/>
      <c r="Q19" s="571"/>
    </row>
    <row r="20" spans="1:17" ht="12.75" customHeight="1" x14ac:dyDescent="0.2">
      <c r="A20" s="214"/>
      <c r="B20" s="215"/>
      <c r="C20" s="613" t="s">
        <v>655</v>
      </c>
      <c r="D20" s="668" t="str">
        <f>VLOOKUP($P20,TOV!$A$4:$E$65536,2,FALSE)</f>
        <v>Major bulk pushing to achieve grades nominated in the approval/permit (i.e. &lt; 18o)</v>
      </c>
      <c r="E20" s="669" t="s">
        <v>515</v>
      </c>
      <c r="F20" s="670"/>
      <c r="G20" s="671" t="s">
        <v>82</v>
      </c>
      <c r="H20" s="672" t="str">
        <f>VLOOKUP($P20,TOV!$A$4:$E$65536,4,FALSE)</f>
        <v>Select from List</v>
      </c>
      <c r="I20" s="673"/>
      <c r="J20" s="674" t="str">
        <f>IF($E20="Y",IF(I20=0,IF(H20="Select From List","",F20*H20),F20*I20),"")</f>
        <v/>
      </c>
      <c r="K20" s="229" t="s">
        <v>523</v>
      </c>
      <c r="L20" s="675" t="s">
        <v>656</v>
      </c>
      <c r="M20" s="611"/>
      <c r="N20" s="612"/>
      <c r="O20" s="709">
        <f>IF(I20="",0,1)</f>
        <v>0</v>
      </c>
      <c r="P20" s="710" t="str">
        <f>IF(Q20=1,"X129",IF(Q20=2,"X130",IF(Q20=3,"X131",IF(Q20=4,"X132",IF(Q20=5,"X133","X129")))))</f>
        <v>X129</v>
      </c>
      <c r="Q20" s="706">
        <f>VLOOKUP(K20,Select_Push_Distance_Index,2,FALSE)</f>
        <v>1</v>
      </c>
    </row>
    <row r="21" spans="1:17" ht="27" customHeight="1" thickBot="1" x14ac:dyDescent="0.25">
      <c r="A21" s="214"/>
      <c r="B21" s="215"/>
      <c r="C21" s="614"/>
      <c r="D21" s="621"/>
      <c r="E21" s="623"/>
      <c r="F21" s="625"/>
      <c r="G21" s="627"/>
      <c r="H21" s="629"/>
      <c r="I21" s="659"/>
      <c r="J21" s="633"/>
      <c r="K21" s="137"/>
      <c r="L21" s="589"/>
      <c r="M21" s="611"/>
      <c r="N21" s="612"/>
      <c r="O21" s="695"/>
      <c r="P21" s="697"/>
      <c r="Q21" s="705"/>
    </row>
    <row r="22" spans="1:17" ht="12.75" customHeight="1" x14ac:dyDescent="0.2">
      <c r="A22" s="214"/>
      <c r="B22" s="215"/>
      <c r="C22" s="614"/>
      <c r="D22" s="621" t="str">
        <f>VLOOKUP($P22,TOV!$A$4:$E$65536,2,FALSE)</f>
        <v xml:space="preserve">Source local material, cart and spread suitable material to cap the waste rock dump (cap thickness determined by approval/licence) </v>
      </c>
      <c r="E22" s="623" t="s">
        <v>515</v>
      </c>
      <c r="F22" s="625"/>
      <c r="G22" s="627" t="s">
        <v>82</v>
      </c>
      <c r="H22" s="629" t="str">
        <f>VLOOKUP($P22,TOV!$A$4:$E$65536,4,FALSE)</f>
        <v>Select from List</v>
      </c>
      <c r="I22" s="659"/>
      <c r="J22" s="633" t="str">
        <f>IF($E22="Y",IF(I22=0,IF(H22="Select From List","",F22*H22),F22*I22),"")</f>
        <v/>
      </c>
      <c r="K22" s="137" t="s">
        <v>514</v>
      </c>
      <c r="L22" s="635" t="s">
        <v>654</v>
      </c>
      <c r="M22" s="708"/>
      <c r="N22" s="612"/>
      <c r="O22" s="694">
        <f>IF(I22="",0,1)</f>
        <v>0</v>
      </c>
      <c r="P22" s="703" t="str">
        <f>IF(Q22=1,"X234",IF(Q22=2,"X235",IF(Q22=3,"X236",IF(Q22=4,"X237",IF(Q22=5,"X238","X234")))))</f>
        <v>X234</v>
      </c>
      <c r="Q22" s="698">
        <f>VLOOKUP(K22,Select_Haul_Distance_Index,2,FALSE)</f>
        <v>1</v>
      </c>
    </row>
    <row r="23" spans="1:17" ht="27" customHeight="1" thickBot="1" x14ac:dyDescent="0.25">
      <c r="A23" s="214"/>
      <c r="B23" s="215"/>
      <c r="C23" s="620"/>
      <c r="D23" s="622"/>
      <c r="E23" s="624"/>
      <c r="F23" s="626"/>
      <c r="G23" s="628"/>
      <c r="H23" s="630"/>
      <c r="I23" s="707"/>
      <c r="J23" s="634"/>
      <c r="K23" s="188"/>
      <c r="L23" s="636"/>
      <c r="M23" s="708"/>
      <c r="N23" s="612"/>
      <c r="O23" s="702"/>
      <c r="P23" s="704"/>
      <c r="Q23" s="705"/>
    </row>
    <row r="24" spans="1:17" ht="13.5" thickBot="1" x14ac:dyDescent="0.25">
      <c r="A24" s="214"/>
      <c r="B24" s="215"/>
      <c r="C24" s="260"/>
      <c r="D24" s="270"/>
      <c r="E24" s="270"/>
      <c r="F24" s="301" t="s">
        <v>573</v>
      </c>
      <c r="G24" s="263"/>
      <c r="H24" s="264"/>
      <c r="I24" s="264"/>
      <c r="J24" s="265">
        <f>SUM(J20:J22)</f>
        <v>0</v>
      </c>
      <c r="K24" s="265"/>
      <c r="L24" s="495"/>
      <c r="M24" s="302"/>
      <c r="N24" s="158"/>
      <c r="O24" s="576"/>
      <c r="P24" s="577"/>
      <c r="Q24" s="578"/>
    </row>
    <row r="25" spans="1:17" ht="33.75" x14ac:dyDescent="0.2">
      <c r="A25" s="102"/>
      <c r="B25" s="218"/>
      <c r="C25" s="579" t="s">
        <v>601</v>
      </c>
      <c r="D25" s="225" t="str">
        <f>VLOOKUP($P25,TOV!$A$4:$E$65536,2,FALSE)</f>
        <v>Shaping or levelling of minor excavations, batters and stockpiles, final trim, rock rake and deep rip</v>
      </c>
      <c r="E25" s="210" t="s">
        <v>515</v>
      </c>
      <c r="F25" s="226"/>
      <c r="G25" s="133" t="s">
        <v>47</v>
      </c>
      <c r="H25" s="212">
        <f>VLOOKUP($P25,TOV!$A$4:$E$65536,4,FALSE)</f>
        <v>1328.5108262753702</v>
      </c>
      <c r="I25" s="217"/>
      <c r="J25" s="228">
        <f t="shared" ref="J25:J44" si="1">IF($E25="Y",IF(I25=0,F25*H25,F25*I25),"")</f>
        <v>0</v>
      </c>
      <c r="K25" s="229"/>
      <c r="L25" s="478" t="s">
        <v>602</v>
      </c>
      <c r="M25" s="302"/>
      <c r="N25" s="158"/>
      <c r="O25" s="297">
        <f t="shared" ref="O25:O32" si="2">IF(I25="",0,1)</f>
        <v>0</v>
      </c>
      <c r="P25" s="298" t="s">
        <v>273</v>
      </c>
      <c r="Q25" s="299"/>
    </row>
    <row r="26" spans="1:17" ht="27" x14ac:dyDescent="0.2">
      <c r="A26" s="1"/>
      <c r="B26" s="6"/>
      <c r="C26" s="580"/>
      <c r="D26" s="180" t="str">
        <f>VLOOKUP($P26,TOV!$A$4:$E$65536,2,FALSE)</f>
        <v>Reshaping of overburden and mullock heaps on the site.</v>
      </c>
      <c r="E26" s="148" t="s">
        <v>515</v>
      </c>
      <c r="F26" s="181"/>
      <c r="G26" s="149" t="s">
        <v>47</v>
      </c>
      <c r="H26" s="156">
        <f>VLOOKUP($P26,TOV!$A$4:$E$65536,4,FALSE)</f>
        <v>3377.5698973102621</v>
      </c>
      <c r="I26" s="163"/>
      <c r="J26" s="136">
        <f>IF($E26="Y",IF(I26=0,F26*H26,F26*I26),"")</f>
        <v>0</v>
      </c>
      <c r="K26" s="137"/>
      <c r="L26" s="474" t="s">
        <v>657</v>
      </c>
      <c r="M26" s="7"/>
      <c r="O26" s="151">
        <f t="shared" si="2"/>
        <v>0</v>
      </c>
      <c r="P26" s="303" t="s">
        <v>371</v>
      </c>
      <c r="Q26" s="153"/>
    </row>
    <row r="27" spans="1:17" ht="36" x14ac:dyDescent="0.2">
      <c r="A27" s="102"/>
      <c r="B27" s="218"/>
      <c r="C27" s="580"/>
      <c r="D27" s="180" t="str">
        <f>VLOOKUP($P27,TOV!$A$4:$E$65536,2,FALSE)</f>
        <v>Structural water management works, banks, drains, rock lined waterways, sediment dams</v>
      </c>
      <c r="E27" s="148" t="s">
        <v>515</v>
      </c>
      <c r="F27" s="181"/>
      <c r="G27" s="149" t="s">
        <v>47</v>
      </c>
      <c r="H27" s="156">
        <f>VLOOKUP($P27,TOV!$A$4:$E$65536,4,FALSE)</f>
        <v>2043.8628096544155</v>
      </c>
      <c r="I27" s="163"/>
      <c r="J27" s="136">
        <f t="shared" si="1"/>
        <v>0</v>
      </c>
      <c r="K27" s="137"/>
      <c r="L27" s="474" t="s">
        <v>658</v>
      </c>
      <c r="M27" s="302"/>
      <c r="N27" s="158"/>
      <c r="O27" s="304">
        <f t="shared" si="2"/>
        <v>0</v>
      </c>
      <c r="P27" s="305" t="s">
        <v>388</v>
      </c>
      <c r="Q27" s="306"/>
    </row>
    <row r="28" spans="1:17" ht="20.25" x14ac:dyDescent="0.3">
      <c r="A28" s="102"/>
      <c r="B28" s="218"/>
      <c r="C28" s="580"/>
      <c r="D28" s="154" t="str">
        <f>VLOOKUP($P28,TOV!$A$4:$E$65536,2,FALSE)</f>
        <v>Clear and grub existing vegetation</v>
      </c>
      <c r="E28" s="148" t="s">
        <v>515</v>
      </c>
      <c r="F28" s="200"/>
      <c r="G28" s="149" t="s">
        <v>47</v>
      </c>
      <c r="H28" s="201">
        <f>VLOOKUP($P28,TOV!$A$4:$E$65536,4,FALSE)</f>
        <v>3412.5495599999995</v>
      </c>
      <c r="I28" s="220"/>
      <c r="J28" s="136">
        <f t="shared" si="1"/>
        <v>0</v>
      </c>
      <c r="K28" s="157"/>
      <c r="L28" s="483" t="s">
        <v>605</v>
      </c>
      <c r="M28" s="221"/>
      <c r="N28" s="222"/>
      <c r="O28" s="159">
        <f t="shared" si="2"/>
        <v>0</v>
      </c>
      <c r="P28" s="160" t="s">
        <v>606</v>
      </c>
      <c r="Q28" s="306"/>
    </row>
    <row r="29" spans="1:17" ht="22.5" x14ac:dyDescent="0.2">
      <c r="A29" s="102"/>
      <c r="B29" s="218"/>
      <c r="C29" s="580"/>
      <c r="D29" s="180" t="str">
        <f>VLOOKUP($P29,TOV!$A$4:$E$65536,2,FALSE)</f>
        <v>Reshape, deep rip and ameliorate sealed unsealed roads</v>
      </c>
      <c r="E29" s="148" t="s">
        <v>515</v>
      </c>
      <c r="F29" s="181"/>
      <c r="G29" s="149" t="s">
        <v>47</v>
      </c>
      <c r="H29" s="156">
        <f>VLOOKUP($P29,TOV!$A$4:$E$65536,4,FALSE)</f>
        <v>2554.8285120680189</v>
      </c>
      <c r="I29" s="163"/>
      <c r="J29" s="136">
        <f t="shared" si="1"/>
        <v>0</v>
      </c>
      <c r="K29" s="137"/>
      <c r="L29" s="474" t="s">
        <v>647</v>
      </c>
      <c r="M29" s="221"/>
      <c r="N29" s="158"/>
      <c r="O29" s="304">
        <f t="shared" si="2"/>
        <v>0</v>
      </c>
      <c r="P29" s="305" t="s">
        <v>363</v>
      </c>
      <c r="Q29" s="306"/>
    </row>
    <row r="30" spans="1:17" ht="33.75" x14ac:dyDescent="0.2">
      <c r="A30" s="102"/>
      <c r="B30" s="218"/>
      <c r="C30" s="580"/>
      <c r="D30" s="180" t="str">
        <f>VLOOKUP($P30,TOV!$A$4:$E$65536,2,FALSE)</f>
        <v>Maintenance of the rehabilitated areas that are intended to be part of the ongoing closure of the site.</v>
      </c>
      <c r="E30" s="148" t="s">
        <v>515</v>
      </c>
      <c r="F30" s="181"/>
      <c r="G30" s="149" t="s">
        <v>47</v>
      </c>
      <c r="H30" s="156">
        <f>VLOOKUP($P30,TOV!$A$4:$E$65536,4,FALSE)</f>
        <v>664.25541313768508</v>
      </c>
      <c r="I30" s="163"/>
      <c r="J30" s="136">
        <f t="shared" si="1"/>
        <v>0</v>
      </c>
      <c r="K30" s="137"/>
      <c r="L30" s="474" t="s">
        <v>659</v>
      </c>
      <c r="M30" s="221"/>
      <c r="N30" s="158"/>
      <c r="O30" s="304">
        <f t="shared" si="2"/>
        <v>0</v>
      </c>
      <c r="P30" s="305" t="s">
        <v>52</v>
      </c>
      <c r="Q30" s="306"/>
    </row>
    <row r="31" spans="1:17" ht="27" x14ac:dyDescent="0.2">
      <c r="A31" s="102"/>
      <c r="B31" s="218"/>
      <c r="C31" s="580"/>
      <c r="D31" s="180" t="str">
        <f>VLOOKUP($P31,TOV!$A$4:$E$65536,2,FALSE)</f>
        <v>Construct a standard stock fence around the site</v>
      </c>
      <c r="E31" s="148" t="s">
        <v>515</v>
      </c>
      <c r="F31" s="181"/>
      <c r="G31" s="149" t="s">
        <v>101</v>
      </c>
      <c r="H31" s="156">
        <f>VLOOKUP($P31,TOV!$A$4:$E$65536,4,FALSE)</f>
        <v>8.1754512386176614</v>
      </c>
      <c r="I31" s="163"/>
      <c r="J31" s="136">
        <f t="shared" si="1"/>
        <v>0</v>
      </c>
      <c r="K31" s="137"/>
      <c r="L31" s="474" t="s">
        <v>608</v>
      </c>
      <c r="M31" s="221"/>
      <c r="N31" s="204"/>
      <c r="O31" s="304">
        <f t="shared" si="2"/>
        <v>0</v>
      </c>
      <c r="P31" s="305" t="s">
        <v>178</v>
      </c>
      <c r="Q31" s="306"/>
    </row>
    <row r="32" spans="1:17" ht="12.75" customHeight="1" x14ac:dyDescent="0.2">
      <c r="A32" s="102"/>
      <c r="B32" s="218"/>
      <c r="C32" s="580"/>
      <c r="D32" s="621" t="str">
        <f>VLOOKUP($P32,TOV!$A$4:$E$65536,2,FALSE)</f>
        <v>Source (where availiable onsite), cart, spread and lightly rip topsoil</v>
      </c>
      <c r="E32" s="623" t="s">
        <v>515</v>
      </c>
      <c r="F32" s="625"/>
      <c r="G32" s="627" t="s">
        <v>82</v>
      </c>
      <c r="H32" s="629" t="str">
        <f>VLOOKUP($P32,TOV!$A$4:$E$65536,4,FALSE)</f>
        <v>Select from List</v>
      </c>
      <c r="I32" s="659"/>
      <c r="J32" s="633" t="str">
        <f>IF($E32="Y",IF(I32=0,IF(H32="Select From List","",F32*H32),F32*I32),"")</f>
        <v/>
      </c>
      <c r="K32" s="137" t="s">
        <v>514</v>
      </c>
      <c r="L32" s="635" t="s">
        <v>609</v>
      </c>
      <c r="M32" s="700"/>
      <c r="N32" s="701"/>
      <c r="O32" s="694">
        <f t="shared" si="2"/>
        <v>0</v>
      </c>
      <c r="P32" s="696" t="str">
        <f>IF(Q32=1,"X044",IF(Q32=2,"X045",IF(Q32=3,"X046",IF(Q32=4,"x047",IF(Q32=5,"X048","X044")))))</f>
        <v>X044</v>
      </c>
      <c r="Q32" s="698">
        <f>VLOOKUP(K32,Select_Haul_Distance_Index,2,FALSE)</f>
        <v>1</v>
      </c>
    </row>
    <row r="33" spans="1:41" ht="27" customHeight="1" x14ac:dyDescent="0.2">
      <c r="A33" s="102"/>
      <c r="B33" s="218"/>
      <c r="C33" s="580"/>
      <c r="D33" s="621"/>
      <c r="E33" s="623"/>
      <c r="F33" s="625"/>
      <c r="G33" s="627"/>
      <c r="H33" s="629"/>
      <c r="I33" s="659"/>
      <c r="J33" s="633"/>
      <c r="K33" s="137"/>
      <c r="L33" s="635"/>
      <c r="M33" s="700"/>
      <c r="N33" s="701"/>
      <c r="O33" s="695"/>
      <c r="P33" s="697"/>
      <c r="Q33" s="699"/>
    </row>
    <row r="34" spans="1:41" s="1" customFormat="1" ht="33.75" x14ac:dyDescent="0.2">
      <c r="A34" s="102"/>
      <c r="B34" s="218"/>
      <c r="C34" s="580"/>
      <c r="D34" s="154" t="str">
        <f>VLOOKUP($P34,TOV!$A$4:$E$65536,2,FALSE)</f>
        <v>Topsoil spreading (topsoil stockpiled immediately adjacent to the area to be rehabilitated) for push &lt; 50m</v>
      </c>
      <c r="E34" s="148" t="s">
        <v>515</v>
      </c>
      <c r="F34" s="200"/>
      <c r="G34" s="149" t="s">
        <v>82</v>
      </c>
      <c r="H34" s="201">
        <f>VLOOKUP($P34,TOV!$A$4:$E$65536,4,FALSE)</f>
        <v>0.91973826434448702</v>
      </c>
      <c r="I34" s="307"/>
      <c r="J34" s="136">
        <f>IF($E34="Y",IF(I34=0,F34*H34,F34*I34),"")</f>
        <v>0</v>
      </c>
      <c r="K34" s="157"/>
      <c r="L34" s="474" t="s">
        <v>660</v>
      </c>
      <c r="M34" s="308"/>
      <c r="N34" s="309"/>
      <c r="O34" s="258">
        <f>IF(I34="",0,1)</f>
        <v>0</v>
      </c>
      <c r="P34" s="310" t="s">
        <v>448</v>
      </c>
      <c r="Q34" s="311"/>
      <c r="R34" s="312"/>
    </row>
    <row r="35" spans="1:41" s="1" customFormat="1" ht="36" x14ac:dyDescent="0.2">
      <c r="A35" s="102"/>
      <c r="B35" s="218"/>
      <c r="C35" s="580"/>
      <c r="D35" s="154" t="str">
        <f>VLOOKUP($P35,TOV!$A$4:$E$65536,2,FALSE)</f>
        <v>Purchase of topsoil where there is a shortage on site</v>
      </c>
      <c r="E35" s="148" t="s">
        <v>515</v>
      </c>
      <c r="F35" s="200"/>
      <c r="G35" s="149" t="s">
        <v>38</v>
      </c>
      <c r="H35" s="201">
        <f>VLOOKUP($P35,TOV!$A$4:$E$65536,4,FALSE)</f>
        <v>34.622540861999994</v>
      </c>
      <c r="I35" s="220"/>
      <c r="J35" s="136">
        <f t="shared" ref="J35" si="3">IF($E35="Y",IF(I35=0,F35*H35,F35*I35),"")</f>
        <v>0</v>
      </c>
      <c r="K35" s="157"/>
      <c r="L35" s="475" t="s">
        <v>610</v>
      </c>
      <c r="M35" s="162"/>
      <c r="N35" s="16"/>
      <c r="O35" s="159">
        <f t="shared" ref="O35" si="4">IF(I35="",0,1)</f>
        <v>0</v>
      </c>
      <c r="P35" s="160" t="s">
        <v>611</v>
      </c>
      <c r="Q35" s="313"/>
      <c r="R35" s="312"/>
    </row>
    <row r="36" spans="1:41" ht="27" x14ac:dyDescent="0.2">
      <c r="A36" s="102"/>
      <c r="B36" s="218"/>
      <c r="C36" s="580"/>
      <c r="D36" s="180" t="str">
        <f>VLOOKUP($P36,TOV!$A$4:$E$65536,2,FALSE)</f>
        <v>Soil amelioration (adding gypsum, lime, etc)</v>
      </c>
      <c r="E36" s="148" t="s">
        <v>515</v>
      </c>
      <c r="F36" s="181"/>
      <c r="G36" s="149" t="s">
        <v>47</v>
      </c>
      <c r="H36" s="156">
        <f>VLOOKUP($P36,TOV!$A$4:$E$65536,4,FALSE)</f>
        <v>510.96570241360388</v>
      </c>
      <c r="I36" s="163"/>
      <c r="J36" s="136">
        <f t="shared" si="1"/>
        <v>0</v>
      </c>
      <c r="K36" s="137"/>
      <c r="L36" s="474" t="s">
        <v>612</v>
      </c>
      <c r="M36" s="221"/>
      <c r="N36" s="158"/>
      <c r="O36" s="304">
        <f>IF(I36="",0,1)</f>
        <v>0</v>
      </c>
      <c r="P36" s="305" t="s">
        <v>119</v>
      </c>
      <c r="Q36" s="314"/>
    </row>
    <row r="37" spans="1:41" ht="63" x14ac:dyDescent="0.2">
      <c r="A37" s="102"/>
      <c r="B37" s="218"/>
      <c r="C37" s="580"/>
      <c r="D37" s="180" t="str">
        <f>VLOOKUP($P37,TOV!$A$4:$E$65536,2,FALSE)</f>
        <v>Direct seeding (native tree species OR using native grasses), with single application of fertiliser</v>
      </c>
      <c r="E37" s="148" t="s">
        <v>515</v>
      </c>
      <c r="F37" s="181"/>
      <c r="G37" s="149" t="s">
        <v>47</v>
      </c>
      <c r="H37" s="156">
        <f>VLOOKUP($P37,TOV!$A$4:$E$65536,4,FALSE)</f>
        <v>3576.7599168952274</v>
      </c>
      <c r="I37" s="163"/>
      <c r="J37" s="136">
        <f t="shared" si="1"/>
        <v>0</v>
      </c>
      <c r="K37" s="137"/>
      <c r="L37" s="474" t="s">
        <v>613</v>
      </c>
      <c r="M37" s="221"/>
      <c r="N37" s="158"/>
      <c r="O37" s="304">
        <f>IF(I37="",0,1)</f>
        <v>0</v>
      </c>
      <c r="P37" s="305" t="s">
        <v>121</v>
      </c>
      <c r="Q37" s="306"/>
    </row>
    <row r="38" spans="1:41" ht="63" x14ac:dyDescent="0.2">
      <c r="A38" s="102"/>
      <c r="B38" s="218"/>
      <c r="C38" s="580"/>
      <c r="D38" s="180" t="str">
        <f>VLOOKUP($P38,TOV!$A$4:$E$65536,2,FALSE)</f>
        <v>Direct seeding (pasture grass species), with single application of fertiliser</v>
      </c>
      <c r="E38" s="148" t="s">
        <v>515</v>
      </c>
      <c r="F38" s="181"/>
      <c r="G38" s="149" t="s">
        <v>47</v>
      </c>
      <c r="H38" s="156">
        <f>VLOOKUP($P38,TOV!$A$4:$E$65536,4,FALSE)</f>
        <v>919.73826434448688</v>
      </c>
      <c r="I38" s="163"/>
      <c r="J38" s="136">
        <f t="shared" si="1"/>
        <v>0</v>
      </c>
      <c r="K38" s="137"/>
      <c r="L38" s="474" t="s">
        <v>614</v>
      </c>
      <c r="M38" s="162"/>
      <c r="N38" s="158"/>
      <c r="O38" s="304">
        <f>IF(I38="",0,1)</f>
        <v>0</v>
      </c>
      <c r="P38" s="305" t="s">
        <v>123</v>
      </c>
      <c r="Q38" s="306"/>
    </row>
    <row r="39" spans="1:41" ht="18.75" thickBot="1" x14ac:dyDescent="0.25">
      <c r="A39" s="102"/>
      <c r="B39" s="218"/>
      <c r="C39" s="580"/>
      <c r="D39" s="180" t="str">
        <f>VLOOKUP($P39,TOV!$A$4:$E$65536,2,FALSE)</f>
        <v>Planting tubestock (&lt; 15cm)</v>
      </c>
      <c r="E39" s="148" t="s">
        <v>515</v>
      </c>
      <c r="F39" s="181"/>
      <c r="G39" s="149" t="s">
        <v>41</v>
      </c>
      <c r="H39" s="156">
        <f>VLOOKUP($P39,TOV!$A$4:$E$65536,4,FALSE)</f>
        <v>8.6604356341288788</v>
      </c>
      <c r="I39" s="163"/>
      <c r="J39" s="136">
        <f t="shared" si="1"/>
        <v>0</v>
      </c>
      <c r="K39" s="137"/>
      <c r="L39" s="474" t="s">
        <v>615</v>
      </c>
      <c r="M39" s="221"/>
      <c r="N39" s="158"/>
      <c r="O39" s="304">
        <f>IF(I39="",0,1)</f>
        <v>0</v>
      </c>
      <c r="P39" s="305" t="s">
        <v>129</v>
      </c>
      <c r="Q39" s="306"/>
    </row>
    <row r="40" spans="1:41" ht="12.75" customHeight="1" thickBot="1" x14ac:dyDescent="0.25">
      <c r="A40" s="102"/>
      <c r="B40" s="218"/>
      <c r="C40" s="205"/>
      <c r="D40" s="206"/>
      <c r="E40" s="207"/>
      <c r="F40" s="236" t="s">
        <v>573</v>
      </c>
      <c r="G40" s="236"/>
      <c r="H40" s="236"/>
      <c r="I40" s="208"/>
      <c r="J40" s="209">
        <f>SUM(J25:J39)</f>
        <v>0</v>
      </c>
      <c r="K40" s="209"/>
      <c r="L40" s="481"/>
      <c r="M40" s="221"/>
      <c r="N40" s="158"/>
      <c r="O40" s="576"/>
      <c r="P40" s="577"/>
      <c r="Q40" s="578"/>
    </row>
    <row r="41" spans="1:41" ht="56.25" x14ac:dyDescent="0.2">
      <c r="A41" s="107"/>
      <c r="B41" s="117"/>
      <c r="C41" s="613" t="s">
        <v>616</v>
      </c>
      <c r="D41" s="225" t="str">
        <f>VLOOKUP($P41,TOV!$A$4:$E$65536,2,FALSE)</f>
        <v>Clean small surface water management dams (include all structures) to be retained after mine closure  - make safe and minor earthworks to stabilise the water management structure. ( &lt; 5 ML)</v>
      </c>
      <c r="E41" s="210" t="s">
        <v>515</v>
      </c>
      <c r="F41" s="226"/>
      <c r="G41" s="133" t="s">
        <v>41</v>
      </c>
      <c r="H41" s="212">
        <f>VLOOKUP($P41,TOV!$A$4:$E$65536,4,FALSE)</f>
        <v>2043.8628096544155</v>
      </c>
      <c r="I41" s="135"/>
      <c r="J41" s="228">
        <f t="shared" si="1"/>
        <v>0</v>
      </c>
      <c r="K41" s="229"/>
      <c r="L41" s="478" t="s">
        <v>617</v>
      </c>
      <c r="M41" s="221"/>
      <c r="N41" s="158"/>
      <c r="O41" s="297">
        <f>IF(I41="",0,1)</f>
        <v>0</v>
      </c>
      <c r="P41" s="298" t="s">
        <v>177</v>
      </c>
      <c r="Q41" s="299"/>
    </row>
    <row r="42" spans="1:41" ht="22.5" x14ac:dyDescent="0.2">
      <c r="A42" s="107"/>
      <c r="B42" s="117"/>
      <c r="C42" s="614"/>
      <c r="D42" s="230" t="str">
        <f>VLOOKUP($P42,TOV!$A$4:$E$65536,2,FALSE)</f>
        <v>Pumping costs for water, includes hire of pumps, labour to manage pumping and fuel</v>
      </c>
      <c r="E42" s="148" t="s">
        <v>515</v>
      </c>
      <c r="F42" s="181"/>
      <c r="G42" s="149" t="s">
        <v>491</v>
      </c>
      <c r="H42" s="156">
        <f>VLOOKUP($P42,TOV!$A$4:$E$65536,4,FALSE)</f>
        <v>85.313738999999984</v>
      </c>
      <c r="I42" s="163"/>
      <c r="J42" s="136">
        <f>IF($E42="Y",IF(I42=0,F42*H42,F42*I42),"")</f>
        <v>0</v>
      </c>
      <c r="K42" s="137"/>
      <c r="L42" s="474" t="s">
        <v>618</v>
      </c>
      <c r="M42" s="231"/>
      <c r="N42" s="102"/>
      <c r="O42" s="159">
        <f>IF(I42="",0,1)</f>
        <v>0</v>
      </c>
      <c r="P42" s="160" t="s">
        <v>489</v>
      </c>
      <c r="Q42" s="314"/>
    </row>
    <row r="43" spans="1:41" ht="22.5" x14ac:dyDescent="0.2">
      <c r="A43" s="107"/>
      <c r="B43" s="117"/>
      <c r="C43" s="614"/>
      <c r="D43" s="230" t="str">
        <f>VLOOKUP($P43,TOV!$A$4:$E$65536,2,FALSE)</f>
        <v>Removal of plastic pond liners for offsite disposal</v>
      </c>
      <c r="E43" s="148" t="s">
        <v>515</v>
      </c>
      <c r="F43" s="181"/>
      <c r="G43" s="149" t="s">
        <v>47</v>
      </c>
      <c r="H43" s="156">
        <f>VLOOKUP($P43,TOV!$A$4:$E$65536,4,FALSE)</f>
        <v>3227.0849099999996</v>
      </c>
      <c r="I43" s="163"/>
      <c r="J43" s="136">
        <f>IF($E43="Y",IF(I43=0,F43*H43,F43*I43),"")</f>
        <v>0</v>
      </c>
      <c r="K43" s="137"/>
      <c r="L43" s="474" t="s">
        <v>619</v>
      </c>
      <c r="M43" s="231"/>
      <c r="N43" s="102"/>
      <c r="O43" s="159">
        <f>IF(I43="",0,1)</f>
        <v>0</v>
      </c>
      <c r="P43" s="160" t="s">
        <v>487</v>
      </c>
      <c r="Q43" s="314"/>
    </row>
    <row r="44" spans="1:41" ht="23.25" thickBot="1" x14ac:dyDescent="0.25">
      <c r="A44" s="107"/>
      <c r="B44" s="117"/>
      <c r="C44" s="614"/>
      <c r="D44" s="232" t="str">
        <f>VLOOKUP($P44,TOV!$A$4:$E$65536,2,FALSE)</f>
        <v>OR Backfill dams and reinstate to natural surface.  (Push only)</v>
      </c>
      <c r="E44" s="184" t="s">
        <v>515</v>
      </c>
      <c r="F44" s="185"/>
      <c r="G44" s="164" t="s">
        <v>38</v>
      </c>
      <c r="H44" s="186">
        <f>VLOOKUP($P44,TOV!$A$4:$E$65536,4,FALSE)</f>
        <v>0.64087223692553696</v>
      </c>
      <c r="I44" s="165"/>
      <c r="J44" s="233">
        <f t="shared" si="1"/>
        <v>0</v>
      </c>
      <c r="K44" s="137"/>
      <c r="L44" s="484" t="s">
        <v>620</v>
      </c>
      <c r="M44" s="231"/>
      <c r="N44" s="102"/>
      <c r="O44" s="159">
        <f>IF(I44="",0,1)</f>
        <v>0</v>
      </c>
      <c r="P44" s="160" t="s">
        <v>460</v>
      </c>
      <c r="Q44" s="234"/>
      <c r="R44" s="235"/>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row>
    <row r="45" spans="1:41" ht="13.5" thickBot="1" x14ac:dyDescent="0.25">
      <c r="A45" s="102"/>
      <c r="B45" s="218"/>
      <c r="C45" s="205"/>
      <c r="D45" s="207"/>
      <c r="E45" s="207"/>
      <c r="F45" s="171" t="s">
        <v>573</v>
      </c>
      <c r="G45" s="172"/>
      <c r="H45" s="173"/>
      <c r="I45" s="173"/>
      <c r="J45" s="209">
        <f>SUM(J41:J44)</f>
        <v>0</v>
      </c>
      <c r="K45" s="209"/>
      <c r="L45" s="485"/>
      <c r="M45" s="231"/>
      <c r="N45" s="158"/>
      <c r="O45" s="576"/>
      <c r="P45" s="577"/>
      <c r="Q45" s="578"/>
    </row>
    <row r="46" spans="1:41" ht="13.5" customHeight="1" x14ac:dyDescent="0.2">
      <c r="A46" s="214"/>
      <c r="B46" s="215"/>
      <c r="C46" s="689" t="s">
        <v>621</v>
      </c>
      <c r="D46" s="315" t="s">
        <v>622</v>
      </c>
      <c r="E46" s="315"/>
      <c r="F46" s="316"/>
      <c r="G46" s="317"/>
      <c r="H46" s="691"/>
      <c r="I46" s="227"/>
      <c r="J46" s="238">
        <f>I46*F46</f>
        <v>0</v>
      </c>
      <c r="K46" s="318"/>
      <c r="L46" s="478" t="s">
        <v>623</v>
      </c>
      <c r="M46" s="231"/>
      <c r="N46" s="158"/>
      <c r="O46" s="297">
        <f>IF(I46="",0,1)</f>
        <v>0</v>
      </c>
      <c r="P46" s="319"/>
      <c r="Q46" s="320"/>
    </row>
    <row r="47" spans="1:41" ht="12.75" x14ac:dyDescent="0.2">
      <c r="A47" s="214"/>
      <c r="B47" s="215"/>
      <c r="C47" s="689"/>
      <c r="D47" s="321" t="s">
        <v>624</v>
      </c>
      <c r="E47" s="321"/>
      <c r="F47" s="322"/>
      <c r="G47" s="323"/>
      <c r="H47" s="692"/>
      <c r="I47" s="324"/>
      <c r="J47" s="241">
        <f>I47*F47</f>
        <v>0</v>
      </c>
      <c r="K47" s="325"/>
      <c r="L47" s="474" t="s">
        <v>623</v>
      </c>
      <c r="M47" s="221"/>
      <c r="N47" s="158"/>
      <c r="O47" s="304">
        <f>IF(I47="",0,1)</f>
        <v>0</v>
      </c>
      <c r="P47" s="326"/>
      <c r="Q47" s="327"/>
    </row>
    <row r="48" spans="1:41" ht="13.5" thickBot="1" x14ac:dyDescent="0.25">
      <c r="A48" s="214"/>
      <c r="B48" s="215"/>
      <c r="C48" s="690"/>
      <c r="D48" s="328" t="s">
        <v>625</v>
      </c>
      <c r="E48" s="328"/>
      <c r="F48" s="329"/>
      <c r="G48" s="330"/>
      <c r="H48" s="693"/>
      <c r="I48" s="331"/>
      <c r="J48" s="268">
        <f>I48*F48</f>
        <v>0</v>
      </c>
      <c r="K48" s="332"/>
      <c r="L48" s="476" t="s">
        <v>623</v>
      </c>
      <c r="M48" s="302"/>
      <c r="N48" s="333"/>
      <c r="O48" s="334">
        <f>IF(I48="",0,1)</f>
        <v>0</v>
      </c>
      <c r="P48" s="335"/>
      <c r="Q48" s="336"/>
    </row>
    <row r="49" spans="1:17" ht="13.5" thickBot="1" x14ac:dyDescent="0.25">
      <c r="A49" s="214"/>
      <c r="B49" s="215"/>
      <c r="C49" s="260"/>
      <c r="D49" s="270"/>
      <c r="E49" s="270"/>
      <c r="F49" s="301" t="s">
        <v>573</v>
      </c>
      <c r="G49" s="263"/>
      <c r="H49" s="264"/>
      <c r="I49" s="264"/>
      <c r="J49" s="265">
        <f>SUM(J46:J48)</f>
        <v>0</v>
      </c>
      <c r="K49" s="265"/>
      <c r="L49" s="495"/>
      <c r="M49" s="302"/>
      <c r="N49" s="158"/>
      <c r="O49" s="569"/>
      <c r="P49" s="570"/>
      <c r="Q49" s="571"/>
    </row>
    <row r="50" spans="1:17" ht="12.75" x14ac:dyDescent="0.2">
      <c r="A50" s="214"/>
      <c r="B50" s="215"/>
      <c r="C50" s="214"/>
      <c r="D50" s="214"/>
      <c r="E50" s="214"/>
      <c r="F50" s="214"/>
      <c r="G50" s="214"/>
      <c r="H50" s="214"/>
      <c r="I50" s="214"/>
      <c r="J50" s="278"/>
      <c r="K50" s="278"/>
      <c r="L50" s="467"/>
      <c r="M50" s="302"/>
      <c r="N50" s="158"/>
      <c r="O50" s="214"/>
      <c r="P50" s="214"/>
      <c r="Q50" s="279"/>
    </row>
    <row r="51" spans="1:17" ht="15.75" x14ac:dyDescent="0.2">
      <c r="A51" s="214"/>
      <c r="B51" s="215"/>
      <c r="C51" s="246" t="s">
        <v>627</v>
      </c>
      <c r="D51" s="655" t="s">
        <v>628</v>
      </c>
      <c r="E51" s="655"/>
      <c r="F51" s="656"/>
      <c r="G51" s="656"/>
      <c r="H51" s="656"/>
      <c r="I51" s="273"/>
      <c r="J51" s="274">
        <f>SUM(J19,J24,J40,J45,J49)</f>
        <v>0</v>
      </c>
      <c r="K51" s="274"/>
      <c r="L51" s="467"/>
      <c r="M51" s="302"/>
      <c r="N51" s="158"/>
      <c r="O51" s="214"/>
      <c r="P51" s="214"/>
      <c r="Q51" s="279"/>
    </row>
    <row r="52" spans="1:17" ht="12.75" x14ac:dyDescent="0.2">
      <c r="A52" s="214"/>
      <c r="B52" s="337"/>
      <c r="C52" s="275"/>
      <c r="D52" s="275"/>
      <c r="E52" s="275"/>
      <c r="F52" s="338"/>
      <c r="G52" s="275"/>
      <c r="H52" s="275"/>
      <c r="I52" s="275"/>
      <c r="J52" s="339"/>
      <c r="K52" s="339"/>
      <c r="L52" s="496"/>
      <c r="M52" s="341"/>
      <c r="N52" s="158"/>
      <c r="O52" s="214"/>
      <c r="P52" s="214"/>
      <c r="Q52" s="279"/>
    </row>
    <row r="53" spans="1:17" ht="12.75" x14ac:dyDescent="0.2">
      <c r="A53" s="107"/>
      <c r="B53" s="107"/>
      <c r="C53" s="214"/>
      <c r="D53" s="214"/>
      <c r="E53" s="214"/>
      <c r="F53" s="277"/>
      <c r="G53" s="214"/>
      <c r="H53" s="214"/>
      <c r="I53" s="214"/>
      <c r="J53" s="278"/>
      <c r="K53" s="278"/>
      <c r="L53" s="467"/>
      <c r="M53" s="107"/>
      <c r="N53" s="107"/>
      <c r="O53" s="1"/>
      <c r="P53" s="1"/>
    </row>
    <row r="54" spans="1:17" ht="6" hidden="1" customHeight="1" x14ac:dyDescent="0.2"/>
    <row r="55" spans="1:17" ht="12.75" hidden="1" customHeight="1" x14ac:dyDescent="0.2"/>
    <row r="56" spans="1:17" ht="12.75" hidden="1" customHeight="1" x14ac:dyDescent="0.2"/>
    <row r="57" spans="1:17" ht="12.75" hidden="1" customHeight="1" x14ac:dyDescent="0.2"/>
    <row r="58" spans="1:17" ht="12.75" hidden="1" customHeight="1" x14ac:dyDescent="0.2"/>
    <row r="59" spans="1:17" ht="12.75" hidden="1" customHeight="1" x14ac:dyDescent="0.2"/>
    <row r="60" spans="1:17" ht="12.75" hidden="1" customHeight="1" x14ac:dyDescent="0.2"/>
    <row r="61" spans="1:17" ht="12.75" hidden="1" customHeight="1" x14ac:dyDescent="0.2"/>
    <row r="62" spans="1:17" ht="12.75" hidden="1" customHeight="1" x14ac:dyDescent="0.2"/>
    <row r="63" spans="1:17" ht="12.75" hidden="1" customHeight="1" x14ac:dyDescent="0.2"/>
    <row r="64" spans="1:17"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sheetData>
  <mergeCells count="74">
    <mergeCell ref="H17:H18"/>
    <mergeCell ref="C3:L3"/>
    <mergeCell ref="C8:D12"/>
    <mergeCell ref="F8:I8"/>
    <mergeCell ref="J8:K8"/>
    <mergeCell ref="F9:I9"/>
    <mergeCell ref="J9:K9"/>
    <mergeCell ref="F10:I10"/>
    <mergeCell ref="J10:K10"/>
    <mergeCell ref="F11:I11"/>
    <mergeCell ref="J11:K11"/>
    <mergeCell ref="C15:C18"/>
    <mergeCell ref="D17:D18"/>
    <mergeCell ref="E17:E18"/>
    <mergeCell ref="F17:F18"/>
    <mergeCell ref="G17:G18"/>
    <mergeCell ref="P17:P18"/>
    <mergeCell ref="Q17:Q18"/>
    <mergeCell ref="O19:Q19"/>
    <mergeCell ref="C20:C23"/>
    <mergeCell ref="D20:D21"/>
    <mergeCell ref="E20:E21"/>
    <mergeCell ref="F20:F21"/>
    <mergeCell ref="G20:G21"/>
    <mergeCell ref="H20:H21"/>
    <mergeCell ref="I20:I21"/>
    <mergeCell ref="I17:I18"/>
    <mergeCell ref="J17:J18"/>
    <mergeCell ref="L17:L18"/>
    <mergeCell ref="M17:M18"/>
    <mergeCell ref="N17:N18"/>
    <mergeCell ref="O17:O18"/>
    <mergeCell ref="Q20:Q21"/>
    <mergeCell ref="D22:D23"/>
    <mergeCell ref="E22:E23"/>
    <mergeCell ref="F22:F23"/>
    <mergeCell ref="G22:G23"/>
    <mergeCell ref="H22:H23"/>
    <mergeCell ref="I22:I23"/>
    <mergeCell ref="J22:J23"/>
    <mergeCell ref="L22:L23"/>
    <mergeCell ref="M22:M23"/>
    <mergeCell ref="J20:J21"/>
    <mergeCell ref="L20:L21"/>
    <mergeCell ref="M20:M21"/>
    <mergeCell ref="N20:N21"/>
    <mergeCell ref="O20:O21"/>
    <mergeCell ref="P20:P21"/>
    <mergeCell ref="C25:C39"/>
    <mergeCell ref="D32:D33"/>
    <mergeCell ref="E32:E33"/>
    <mergeCell ref="F32:F33"/>
    <mergeCell ref="G32:G33"/>
    <mergeCell ref="N22:N23"/>
    <mergeCell ref="O22:O23"/>
    <mergeCell ref="P22:P23"/>
    <mergeCell ref="Q22:Q23"/>
    <mergeCell ref="O24:Q24"/>
    <mergeCell ref="C46:C48"/>
    <mergeCell ref="H46:H48"/>
    <mergeCell ref="O49:Q49"/>
    <mergeCell ref="D51:H51"/>
    <mergeCell ref="O32:O33"/>
    <mergeCell ref="P32:P33"/>
    <mergeCell ref="Q32:Q33"/>
    <mergeCell ref="O40:Q40"/>
    <mergeCell ref="C41:C44"/>
    <mergeCell ref="O45:Q45"/>
    <mergeCell ref="H32:H33"/>
    <mergeCell ref="I32:I33"/>
    <mergeCell ref="J32:J33"/>
    <mergeCell ref="L32:L33"/>
    <mergeCell ref="M32:M33"/>
    <mergeCell ref="N32:N33"/>
  </mergeCells>
  <conditionalFormatting sqref="F15:F17">
    <cfRule type="expression" dxfId="57" priority="14" stopIfTrue="1">
      <formula>$E15="N"</formula>
    </cfRule>
    <cfRule type="expression" dxfId="56" priority="15" stopIfTrue="1">
      <formula>$E15="Y"</formula>
    </cfRule>
  </conditionalFormatting>
  <conditionalFormatting sqref="F20:F22">
    <cfRule type="expression" dxfId="55" priority="17" stopIfTrue="1">
      <formula>$E20="N"</formula>
    </cfRule>
    <cfRule type="expression" dxfId="54" priority="18" stopIfTrue="1">
      <formula>$E20="Y"</formula>
    </cfRule>
  </conditionalFormatting>
  <conditionalFormatting sqref="F25:F39">
    <cfRule type="expression" dxfId="53" priority="6" stopIfTrue="1">
      <formula>$E25="N"</formula>
    </cfRule>
    <cfRule type="expression" dxfId="52" priority="7" stopIfTrue="1">
      <formula>$E25="Y"</formula>
    </cfRule>
  </conditionalFormatting>
  <conditionalFormatting sqref="F41:F44">
    <cfRule type="expression" dxfId="51" priority="2" stopIfTrue="1">
      <formula>$E41="N"</formula>
    </cfRule>
    <cfRule type="expression" dxfId="50" priority="3" stopIfTrue="1">
      <formula>$E41="Y"</formula>
    </cfRule>
  </conditionalFormatting>
  <conditionalFormatting sqref="J15:J17">
    <cfRule type="expression" dxfId="49" priority="13" stopIfTrue="1">
      <formula>$O15=1</formula>
    </cfRule>
  </conditionalFormatting>
  <conditionalFormatting sqref="J20:J22">
    <cfRule type="expression" dxfId="48" priority="19" stopIfTrue="1">
      <formula>$O20=1</formula>
    </cfRule>
  </conditionalFormatting>
  <conditionalFormatting sqref="J25:J39">
    <cfRule type="expression" dxfId="47" priority="5" stopIfTrue="1">
      <formula>$O25=1</formula>
    </cfRule>
  </conditionalFormatting>
  <conditionalFormatting sqref="J41:J44">
    <cfRule type="expression" dxfId="46" priority="1" stopIfTrue="1">
      <formula>$O41=1</formula>
    </cfRule>
  </conditionalFormatting>
  <conditionalFormatting sqref="K15:K18">
    <cfRule type="expression" dxfId="45" priority="16" stopIfTrue="1">
      <formula>$O15=1</formula>
    </cfRule>
  </conditionalFormatting>
  <conditionalFormatting sqref="K20:K23">
    <cfRule type="expression" dxfId="44" priority="20" stopIfTrue="1">
      <formula>$O20=1</formula>
    </cfRule>
  </conditionalFormatting>
  <conditionalFormatting sqref="K25:K39">
    <cfRule type="expression" dxfId="43" priority="8" stopIfTrue="1">
      <formula>$O25=1</formula>
    </cfRule>
  </conditionalFormatting>
  <conditionalFormatting sqref="K41:K44">
    <cfRule type="expression" dxfId="42" priority="4" stopIfTrue="1">
      <formula>$O41=1</formula>
    </cfRule>
  </conditionalFormatting>
  <dataValidations count="3">
    <dataValidation type="list" allowBlank="1" showInputMessage="1" showErrorMessage="1" sqref="K20" xr:uid="{6BC75467-C6B0-4AD8-96A3-8652594AB675}">
      <formula1>Select_Push_Distance</formula1>
    </dataValidation>
    <dataValidation type="list" allowBlank="1" showInputMessage="1" showErrorMessage="1" sqref="E15:E18 E25:E39 E20:E23 E41:E44" xr:uid="{732EC47F-960B-4153-B5EC-ED413045D9B9}">
      <formula1>Y_N</formula1>
    </dataValidation>
    <dataValidation type="list" allowBlank="1" showInputMessage="1" showErrorMessage="1" sqref="K32 K17 K22" xr:uid="{1D5C73AE-A085-4F94-B552-551CD18CAB46}">
      <formula1>Select_Haul_Distance</formula1>
    </dataValidation>
  </dataValidations>
  <printOptions horizontalCentered="1"/>
  <pageMargins left="0.59055118110236227" right="0.59055118110236227" top="0.59055118110236227" bottom="0.59055118110236227" header="0.51181102362204722" footer="0.51181102362204722"/>
  <pageSetup paperSize="8" orientation="landscape" r:id="rId1"/>
  <headerFooter alignWithMargins="0">
    <oddFooter>&amp;C_x000D_&amp;1#&amp;"Calibri"&amp;12&amp;K000000 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FB4BC-A8B0-45D3-9E3E-EDE92E157563}">
  <sheetPr codeName="Sheet24"/>
  <dimension ref="A1:AO104"/>
  <sheetViews>
    <sheetView topLeftCell="A3" workbookViewId="0">
      <selection activeCell="C41" sqref="C41:M71"/>
    </sheetView>
  </sheetViews>
  <sheetFormatPr defaultColWidth="0" defaultRowHeight="0" customHeight="1" zeroHeight="1" x14ac:dyDescent="0.25"/>
  <cols>
    <col min="1" max="2" width="2.42578125" style="2" customWidth="1"/>
    <col min="3" max="3" width="25.85546875" style="2" customWidth="1"/>
    <col min="4" max="4" width="33.7109375" style="2" customWidth="1"/>
    <col min="5" max="5" width="9" style="2" customWidth="1"/>
    <col min="6" max="6" width="7.42578125" style="2" customWidth="1"/>
    <col min="7" max="7" width="4" style="2" customWidth="1"/>
    <col min="8" max="9" width="11.140625" style="2" customWidth="1"/>
    <col min="10" max="10" width="15.7109375" style="2" customWidth="1"/>
    <col min="11" max="11" width="28.7109375" style="2" customWidth="1"/>
    <col min="12" max="12" width="40.140625" customWidth="1"/>
    <col min="13" max="13" width="2.140625" style="2" customWidth="1"/>
    <col min="14" max="14" width="2.42578125" style="1" customWidth="1"/>
    <col min="15" max="16" width="4.5703125" style="2" hidden="1" customWidth="1"/>
    <col min="17" max="17" width="4.5703125" style="375" hidden="1" customWidth="1"/>
    <col min="18" max="18" width="2.42578125" style="1" hidden="1" customWidth="1"/>
    <col min="19" max="16384" width="8.85546875" style="2" hidden="1"/>
  </cols>
  <sheetData>
    <row r="1" spans="1:18" ht="15" x14ac:dyDescent="0.25">
      <c r="A1" s="1"/>
      <c r="B1" s="1"/>
      <c r="C1" s="1"/>
      <c r="D1" s="1"/>
      <c r="E1" s="1"/>
      <c r="F1" s="1"/>
      <c r="G1" s="1"/>
      <c r="H1" s="1"/>
      <c r="I1" s="1"/>
      <c r="J1" s="1"/>
      <c r="K1" s="1"/>
      <c r="L1" s="457"/>
      <c r="M1" s="1"/>
      <c r="O1" s="1"/>
      <c r="P1" s="1"/>
      <c r="Q1" s="16"/>
    </row>
    <row r="2" spans="1:18" ht="15" x14ac:dyDescent="0.25">
      <c r="A2" s="1"/>
      <c r="B2" s="3"/>
      <c r="C2" s="4"/>
      <c r="D2" s="4"/>
      <c r="E2" s="4"/>
      <c r="F2" s="4"/>
      <c r="G2" s="4"/>
      <c r="H2" s="4"/>
      <c r="I2" s="4"/>
      <c r="J2" s="4"/>
      <c r="K2" s="4"/>
      <c r="L2" s="458"/>
      <c r="M2" s="5"/>
      <c r="O2" s="1"/>
      <c r="P2" s="1"/>
      <c r="Q2" s="16"/>
    </row>
    <row r="3" spans="1:18" ht="23.25" thickBot="1" x14ac:dyDescent="0.25">
      <c r="A3" s="1"/>
      <c r="B3" s="6"/>
      <c r="C3" s="639" t="s">
        <v>540</v>
      </c>
      <c r="D3" s="639"/>
      <c r="E3" s="639"/>
      <c r="F3" s="639"/>
      <c r="G3" s="639"/>
      <c r="H3" s="639"/>
      <c r="I3" s="639"/>
      <c r="J3" s="639"/>
      <c r="K3" s="639"/>
      <c r="L3" s="639"/>
      <c r="M3" s="7"/>
      <c r="O3" s="1"/>
      <c r="P3" s="1"/>
      <c r="Q3" s="16"/>
    </row>
    <row r="4" spans="1:18" ht="22.5" x14ac:dyDescent="0.2">
      <c r="A4" s="1"/>
      <c r="B4" s="6"/>
      <c r="C4" s="89" t="s">
        <v>677</v>
      </c>
      <c r="D4" s="90"/>
      <c r="E4" s="90"/>
      <c r="F4" s="91"/>
      <c r="G4" s="91"/>
      <c r="H4" s="92"/>
      <c r="I4" s="92"/>
      <c r="J4" s="92"/>
      <c r="K4" s="93" t="s">
        <v>542</v>
      </c>
      <c r="L4" s="463">
        <f>Total_Liability</f>
        <v>3235.6385328442129</v>
      </c>
      <c r="M4" s="7"/>
      <c r="O4" s="1"/>
      <c r="P4" s="1"/>
      <c r="Q4" s="1"/>
    </row>
    <row r="5" spans="1:18" s="74" customFormat="1" ht="12.75" customHeight="1" x14ac:dyDescent="0.2">
      <c r="A5" s="102"/>
      <c r="B5" s="218"/>
      <c r="C5" s="96"/>
      <c r="D5" s="97"/>
      <c r="E5" s="97"/>
      <c r="F5" s="98"/>
      <c r="G5" s="98"/>
      <c r="H5" s="99"/>
      <c r="I5" s="99"/>
      <c r="J5" s="99"/>
      <c r="K5" s="100" t="s">
        <v>543</v>
      </c>
      <c r="L5" s="464">
        <f>J63</f>
        <v>0</v>
      </c>
      <c r="M5" s="162"/>
      <c r="N5" s="102"/>
      <c r="O5" s="102"/>
      <c r="P5" s="102"/>
      <c r="Q5" s="102"/>
      <c r="R5" s="102"/>
    </row>
    <row r="6" spans="1:18" ht="12.75" customHeight="1" x14ac:dyDescent="0.25">
      <c r="A6" s="1"/>
      <c r="B6" s="6"/>
      <c r="C6" s="105"/>
      <c r="D6" s="106"/>
      <c r="E6" s="106"/>
      <c r="G6" s="107"/>
      <c r="H6" s="107"/>
      <c r="J6" s="108"/>
      <c r="K6" s="1"/>
      <c r="L6" s="457"/>
      <c r="M6" s="7"/>
      <c r="O6" s="1"/>
      <c r="P6" s="1"/>
      <c r="Q6" s="1"/>
    </row>
    <row r="7" spans="1:18" ht="12.75" customHeight="1" thickBot="1" x14ac:dyDescent="0.25">
      <c r="A7" s="1"/>
      <c r="B7" s="6"/>
      <c r="C7" s="112" t="s">
        <v>544</v>
      </c>
      <c r="D7" s="97"/>
      <c r="E7" s="97"/>
      <c r="F7" s="112" t="s">
        <v>661</v>
      </c>
      <c r="G7" s="98"/>
      <c r="H7" s="107"/>
      <c r="I7" s="1"/>
      <c r="J7" s="1"/>
      <c r="K7" s="1"/>
      <c r="L7" s="465" t="s">
        <v>545</v>
      </c>
      <c r="M7" s="7"/>
      <c r="O7" s="1"/>
      <c r="P7" s="1"/>
      <c r="Q7" s="1"/>
    </row>
    <row r="8" spans="1:18" ht="12.75" customHeight="1" x14ac:dyDescent="0.2">
      <c r="A8" s="1"/>
      <c r="B8" s="6"/>
      <c r="C8" s="679"/>
      <c r="D8" s="680"/>
      <c r="E8" s="114"/>
      <c r="F8" s="342" t="s">
        <v>662</v>
      </c>
      <c r="G8" s="718" t="s">
        <v>663</v>
      </c>
      <c r="H8" s="719"/>
      <c r="I8" s="344" t="s">
        <v>664</v>
      </c>
      <c r="J8" s="343" t="s">
        <v>665</v>
      </c>
      <c r="K8" s="345" t="s">
        <v>666</v>
      </c>
      <c r="L8" s="466" t="s">
        <v>546</v>
      </c>
      <c r="M8" s="7"/>
      <c r="O8" s="1"/>
      <c r="P8" s="1"/>
      <c r="Q8" s="1"/>
    </row>
    <row r="9" spans="1:18" ht="12.75" customHeight="1" x14ac:dyDescent="0.2">
      <c r="A9" s="1"/>
      <c r="B9" s="6"/>
      <c r="C9" s="681"/>
      <c r="D9" s="682"/>
      <c r="E9" s="114"/>
      <c r="F9" s="346"/>
      <c r="G9" s="720"/>
      <c r="H9" s="721"/>
      <c r="I9" s="347"/>
      <c r="J9" s="347"/>
      <c r="K9" s="348"/>
      <c r="L9" s="467" t="s">
        <v>547</v>
      </c>
      <c r="M9" s="7"/>
      <c r="O9" s="1"/>
      <c r="P9" s="1"/>
      <c r="Q9" s="1"/>
    </row>
    <row r="10" spans="1:18" ht="12.75" customHeight="1" x14ac:dyDescent="0.2">
      <c r="A10" s="1"/>
      <c r="B10" s="6"/>
      <c r="C10" s="681"/>
      <c r="D10" s="682"/>
      <c r="E10" s="114"/>
      <c r="F10" s="346"/>
      <c r="G10" s="722"/>
      <c r="H10" s="723"/>
      <c r="I10" s="347"/>
      <c r="J10" s="347"/>
      <c r="K10" s="348"/>
      <c r="L10" s="468" t="s">
        <v>548</v>
      </c>
      <c r="M10" s="7"/>
      <c r="O10" s="1"/>
      <c r="P10" s="1"/>
      <c r="Q10" s="1"/>
    </row>
    <row r="11" spans="1:18" ht="12.75" customHeight="1" x14ac:dyDescent="0.2">
      <c r="A11" s="1"/>
      <c r="B11" s="6"/>
      <c r="C11" s="681"/>
      <c r="D11" s="682"/>
      <c r="E11" s="114"/>
      <c r="F11" s="346"/>
      <c r="G11" s="722"/>
      <c r="H11" s="723"/>
      <c r="I11" s="347"/>
      <c r="J11" s="347"/>
      <c r="K11" s="348"/>
      <c r="L11" s="469" t="s">
        <v>549</v>
      </c>
      <c r="M11" s="7"/>
      <c r="O11" s="1"/>
      <c r="P11" s="1"/>
      <c r="Q11" s="1"/>
    </row>
    <row r="12" spans="1:18" ht="12.75" customHeight="1" x14ac:dyDescent="0.2">
      <c r="A12" s="1"/>
      <c r="B12" s="6"/>
      <c r="C12" s="681"/>
      <c r="D12" s="682"/>
      <c r="E12" s="97"/>
      <c r="F12" s="346"/>
      <c r="G12" s="722"/>
      <c r="H12" s="723"/>
      <c r="I12" s="347"/>
      <c r="J12" s="347"/>
      <c r="K12" s="348"/>
      <c r="L12" s="488"/>
      <c r="M12" s="7"/>
      <c r="O12" s="1"/>
      <c r="P12" s="1"/>
      <c r="Q12" s="1"/>
    </row>
    <row r="13" spans="1:18" ht="12.75" customHeight="1" x14ac:dyDescent="0.2">
      <c r="A13" s="107"/>
      <c r="B13" s="117"/>
      <c r="C13" s="681"/>
      <c r="D13" s="682"/>
      <c r="E13" s="1"/>
      <c r="F13" s="346"/>
      <c r="G13" s="721"/>
      <c r="H13" s="721"/>
      <c r="I13" s="347"/>
      <c r="J13" s="347"/>
      <c r="K13" s="348"/>
      <c r="L13" s="470"/>
      <c r="M13" s="120"/>
      <c r="N13" s="102"/>
      <c r="O13" s="107"/>
      <c r="P13" s="349"/>
      <c r="Q13" s="107"/>
    </row>
    <row r="14" spans="1:18" ht="12.75" customHeight="1" x14ac:dyDescent="0.2">
      <c r="A14" s="107"/>
      <c r="B14" s="117"/>
      <c r="C14" s="681"/>
      <c r="D14" s="682"/>
      <c r="E14" s="1"/>
      <c r="F14" s="346"/>
      <c r="G14" s="721"/>
      <c r="H14" s="721"/>
      <c r="I14" s="347"/>
      <c r="J14" s="347"/>
      <c r="K14" s="348"/>
      <c r="L14" s="470"/>
      <c r="M14" s="120"/>
      <c r="N14" s="102"/>
      <c r="O14" s="107"/>
      <c r="P14" s="349"/>
      <c r="Q14" s="107"/>
    </row>
    <row r="15" spans="1:18" ht="12.75" customHeight="1" x14ac:dyDescent="0.2">
      <c r="A15" s="107"/>
      <c r="B15" s="117"/>
      <c r="C15" s="681"/>
      <c r="D15" s="682"/>
      <c r="E15" s="1"/>
      <c r="F15" s="346"/>
      <c r="G15" s="721"/>
      <c r="H15" s="721"/>
      <c r="I15" s="347"/>
      <c r="J15" s="347"/>
      <c r="K15" s="348"/>
      <c r="L15" s="470"/>
      <c r="M15" s="120"/>
      <c r="N15" s="102"/>
      <c r="O15" s="107"/>
      <c r="P15" s="349"/>
      <c r="Q15" s="107"/>
    </row>
    <row r="16" spans="1:18" ht="12.75" customHeight="1" x14ac:dyDescent="0.2">
      <c r="A16" s="107"/>
      <c r="B16" s="117"/>
      <c r="C16" s="681"/>
      <c r="D16" s="682"/>
      <c r="E16" s="1"/>
      <c r="F16" s="346"/>
      <c r="G16" s="721"/>
      <c r="H16" s="721"/>
      <c r="I16" s="347"/>
      <c r="J16" s="347"/>
      <c r="K16" s="348"/>
      <c r="L16" s="470"/>
      <c r="M16" s="120"/>
      <c r="N16" s="102"/>
      <c r="O16" s="107"/>
      <c r="P16" s="349"/>
      <c r="Q16" s="107"/>
    </row>
    <row r="17" spans="1:17" ht="12.75" customHeight="1" thickBot="1" x14ac:dyDescent="0.25">
      <c r="A17" s="107"/>
      <c r="B17" s="117"/>
      <c r="C17" s="683"/>
      <c r="D17" s="684"/>
      <c r="E17" s="1"/>
      <c r="F17" s="350"/>
      <c r="G17" s="724"/>
      <c r="H17" s="724"/>
      <c r="I17" s="351"/>
      <c r="J17" s="351"/>
      <c r="K17" s="352"/>
      <c r="L17" s="470"/>
      <c r="M17" s="120"/>
      <c r="N17" s="102"/>
      <c r="O17" s="107"/>
      <c r="P17" s="349"/>
      <c r="Q17" s="107"/>
    </row>
    <row r="18" spans="1:17" ht="12.75" customHeight="1" thickBot="1" x14ac:dyDescent="0.25">
      <c r="A18" s="1"/>
      <c r="B18" s="6"/>
      <c r="C18" s="272"/>
      <c r="D18" s="353"/>
      <c r="E18" s="354"/>
      <c r="F18" s="716"/>
      <c r="G18" s="716"/>
      <c r="H18" s="98"/>
      <c r="I18" s="98"/>
      <c r="J18" s="115"/>
      <c r="K18" s="99"/>
      <c r="L18" s="488"/>
      <c r="M18" s="7"/>
      <c r="O18" s="1"/>
      <c r="P18" s="1"/>
      <c r="Q18" s="16"/>
    </row>
    <row r="19" spans="1:17" ht="23.25" thickBot="1" x14ac:dyDescent="0.25">
      <c r="A19" s="1"/>
      <c r="B19" s="6"/>
      <c r="C19" s="255" t="s">
        <v>550</v>
      </c>
      <c r="D19" s="255" t="s">
        <v>551</v>
      </c>
      <c r="E19" s="256" t="s">
        <v>552</v>
      </c>
      <c r="F19" s="255" t="s">
        <v>553</v>
      </c>
      <c r="G19" s="255" t="s">
        <v>32</v>
      </c>
      <c r="H19" s="257" t="s">
        <v>554</v>
      </c>
      <c r="I19" s="257" t="s">
        <v>555</v>
      </c>
      <c r="J19" s="129" t="s">
        <v>556</v>
      </c>
      <c r="K19" s="129" t="s">
        <v>557</v>
      </c>
      <c r="L19" s="498" t="s">
        <v>558</v>
      </c>
      <c r="M19" s="7"/>
      <c r="O19" s="129" t="s">
        <v>559</v>
      </c>
      <c r="P19" s="129" t="s">
        <v>560</v>
      </c>
      <c r="Q19" s="129" t="s">
        <v>561</v>
      </c>
    </row>
    <row r="20" spans="1:17" ht="33.75" x14ac:dyDescent="0.2">
      <c r="A20" s="1"/>
      <c r="B20" s="6"/>
      <c r="C20" s="613" t="s">
        <v>667</v>
      </c>
      <c r="D20" s="225" t="str">
        <f>VLOOKUP($P20,TOV!$A$4:$E$65536,2,FALSE)</f>
        <v>Drill and blast a vertical face to achieve a minimum batter angle of 33 degrees, where blasts &lt; 3000 t, face height is typically &lt; 10m.</v>
      </c>
      <c r="E20" s="210" t="s">
        <v>515</v>
      </c>
      <c r="F20" s="226"/>
      <c r="G20" s="133" t="s">
        <v>82</v>
      </c>
      <c r="H20" s="212">
        <f>VLOOKUP($P20,TOV!$A$4:$E$65536,4,FALSE)</f>
        <v>4.0877256193088307</v>
      </c>
      <c r="I20" s="135"/>
      <c r="J20" s="228">
        <f>IF($E20="Y",IF(I20=0,F20*H20,F20*I20),"")</f>
        <v>0</v>
      </c>
      <c r="K20" s="229"/>
      <c r="L20" s="478" t="s">
        <v>668</v>
      </c>
      <c r="M20" s="7"/>
      <c r="O20" s="138">
        <f t="shared" ref="O20:O60" si="0">IF(I20="",0,1)</f>
        <v>0</v>
      </c>
      <c r="P20" s="139" t="s">
        <v>452</v>
      </c>
      <c r="Q20" s="140"/>
    </row>
    <row r="21" spans="1:17" ht="33.75" x14ac:dyDescent="0.2">
      <c r="A21" s="1"/>
      <c r="B21" s="6"/>
      <c r="C21" s="614"/>
      <c r="D21" s="180" t="str">
        <f>VLOOKUP($P21,TOV!$A$4:$E$65536,2,FALSE)</f>
        <v>Drill and blast a vertical face to achieve a minimum batter angle of 33 degrees, where blasts &gt; 3000 t, face height is typically &gt; 10m.</v>
      </c>
      <c r="E21" s="148" t="s">
        <v>515</v>
      </c>
      <c r="F21" s="181"/>
      <c r="G21" s="189" t="s">
        <v>82</v>
      </c>
      <c r="H21" s="156">
        <f>VLOOKUP($P21,TOV!$A$4:$E$65536,4,FALSE)</f>
        <v>2.8614079335161815</v>
      </c>
      <c r="I21" s="163"/>
      <c r="J21" s="136">
        <f>IF($E21="Y",IF(I21=0,F21*H21,F21*I21),"")</f>
        <v>0</v>
      </c>
      <c r="K21" s="137"/>
      <c r="L21" s="474" t="s">
        <v>668</v>
      </c>
      <c r="M21" s="7"/>
      <c r="O21" s="151">
        <f>IF(I21="",0,1)</f>
        <v>0</v>
      </c>
      <c r="P21" s="152" t="s">
        <v>454</v>
      </c>
      <c r="Q21" s="153"/>
    </row>
    <row r="22" spans="1:17" ht="12.75" customHeight="1" x14ac:dyDescent="0.2">
      <c r="A22" s="1"/>
      <c r="B22" s="6"/>
      <c r="C22" s="717"/>
      <c r="D22" s="621" t="str">
        <f>VLOOKUP($P22,TOV!$A$4:$E$65536,2,FALSE)</f>
        <v>Major bulk pushing (Sand Batter) to achieve grades nominated in the approval/permit (i.e. &lt; 18o)</v>
      </c>
      <c r="E22" s="623" t="s">
        <v>515</v>
      </c>
      <c r="F22" s="625"/>
      <c r="G22" s="627" t="s">
        <v>82</v>
      </c>
      <c r="H22" s="629" t="str">
        <f>VLOOKUP($P22,TOV!$A$4:$E$65536,4,FALSE)</f>
        <v>Select from List</v>
      </c>
      <c r="I22" s="659"/>
      <c r="J22" s="633" t="str">
        <f>IF($E22="Y",IF(I22=0,IF(H22="Select From List","",F22*H22),F22*I22),"")</f>
        <v/>
      </c>
      <c r="K22" s="137" t="s">
        <v>529</v>
      </c>
      <c r="L22" s="635" t="s">
        <v>669</v>
      </c>
      <c r="M22" s="590"/>
      <c r="N22" s="591"/>
      <c r="O22" s="592">
        <f t="shared" si="0"/>
        <v>0</v>
      </c>
      <c r="P22" s="594" t="str">
        <f>IF(Q22=1,"X221",IF(Q22=2,"X222",IF(Q22=3,"X223")))</f>
        <v>X221</v>
      </c>
      <c r="Q22" s="574">
        <f>VLOOKUP(K22,Select_Push_Distance_Sand_Index,2,FALSE)</f>
        <v>1</v>
      </c>
    </row>
    <row r="23" spans="1:17" ht="28.5" customHeight="1" x14ac:dyDescent="0.2">
      <c r="A23" s="1"/>
      <c r="B23" s="6"/>
      <c r="C23" s="717"/>
      <c r="D23" s="621"/>
      <c r="E23" s="623"/>
      <c r="F23" s="625"/>
      <c r="G23" s="627"/>
      <c r="H23" s="629"/>
      <c r="I23" s="659"/>
      <c r="J23" s="633"/>
      <c r="K23" s="137"/>
      <c r="L23" s="635"/>
      <c r="M23" s="590"/>
      <c r="N23" s="591"/>
      <c r="O23" s="593"/>
      <c r="P23" s="595"/>
      <c r="Q23" s="575"/>
    </row>
    <row r="24" spans="1:17" ht="12.75" customHeight="1" x14ac:dyDescent="0.2">
      <c r="A24" s="1"/>
      <c r="B24" s="6"/>
      <c r="C24" s="717"/>
      <c r="D24" s="597" t="str">
        <f>VLOOKUP($P24,TOV!$A$4:$E$65536,2,FALSE)</f>
        <v>Major bulk pushing (Clay Batter) to achieve grades nominated in the approval/permit (i.e. &lt; 18o)</v>
      </c>
      <c r="E24" s="623" t="s">
        <v>515</v>
      </c>
      <c r="F24" s="625"/>
      <c r="G24" s="627" t="s">
        <v>82</v>
      </c>
      <c r="H24" s="629" t="str">
        <f>VLOOKUP($P24,TOV!$A$4:$E$65536,4,FALSE)</f>
        <v>Select from List</v>
      </c>
      <c r="I24" s="659"/>
      <c r="J24" s="633" t="str">
        <f>IF($E24="Y",IF(I24=0,IF(H24="Select From List","",F24*H24),F24*I24),"")</f>
        <v/>
      </c>
      <c r="K24" s="137" t="s">
        <v>533</v>
      </c>
      <c r="L24" s="635" t="s">
        <v>669</v>
      </c>
      <c r="M24" s="590"/>
      <c r="N24" s="591"/>
      <c r="O24" s="592">
        <f>IF(I24="",0,1)</f>
        <v>0</v>
      </c>
      <c r="P24" s="594" t="str">
        <f>IF(Q24=1,"X224",IF(Q24=2,"X225",IF(Q24=3,"X226")))</f>
        <v>X224</v>
      </c>
      <c r="Q24" s="574">
        <f>VLOOKUP(K24,Select_Push_Distance_Clay_Index,2,FALSE)</f>
        <v>1</v>
      </c>
    </row>
    <row r="25" spans="1:17" ht="28.5" customHeight="1" x14ac:dyDescent="0.2">
      <c r="A25" s="1"/>
      <c r="B25" s="6"/>
      <c r="C25" s="717"/>
      <c r="D25" s="598"/>
      <c r="E25" s="623"/>
      <c r="F25" s="625"/>
      <c r="G25" s="627"/>
      <c r="H25" s="629"/>
      <c r="I25" s="659"/>
      <c r="J25" s="633"/>
      <c r="K25" s="137"/>
      <c r="L25" s="635"/>
      <c r="M25" s="590"/>
      <c r="N25" s="591"/>
      <c r="O25" s="593"/>
      <c r="P25" s="595"/>
      <c r="Q25" s="575"/>
    </row>
    <row r="26" spans="1:17" ht="12.75" customHeight="1" x14ac:dyDescent="0.2">
      <c r="A26" s="1"/>
      <c r="B26" s="6"/>
      <c r="C26" s="717"/>
      <c r="D26" s="621" t="str">
        <f>VLOOKUP($P26,TOV!$A$4:$E$65536,2,FALSE)</f>
        <v>Major bulk pushing (Stiff Clay or Soft Rock with ripping) to achieve grades nominated in the approval/permit (i.e. &lt; 18o)</v>
      </c>
      <c r="E26" s="623" t="s">
        <v>515</v>
      </c>
      <c r="F26" s="625"/>
      <c r="G26" s="627" t="s">
        <v>82</v>
      </c>
      <c r="H26" s="629" t="str">
        <f>VLOOKUP($P26,TOV!$A$4:$E$65536,4,FALSE)</f>
        <v>Select from List</v>
      </c>
      <c r="I26" s="659"/>
      <c r="J26" s="633" t="str">
        <f>IF($E26="Y",IF(I26=0,IF(H26="Select From List","",F26*H26),F26*I26),"")</f>
        <v/>
      </c>
      <c r="K26" s="137" t="s">
        <v>534</v>
      </c>
      <c r="L26" s="635" t="s">
        <v>669</v>
      </c>
      <c r="M26" s="590"/>
      <c r="N26" s="591"/>
      <c r="O26" s="592">
        <f>IF(I26="",0,1)</f>
        <v>0</v>
      </c>
      <c r="P26" s="594" t="str">
        <f>IF(Q26=1,"X227",IF(Q26=2,"X228",IF(Q26=3,"X229")))</f>
        <v>X227</v>
      </c>
      <c r="Q26" s="574">
        <f>VLOOKUP(K26,Select_Push_Distance_Stiff_Clay_Index,2,FALSE)</f>
        <v>1</v>
      </c>
    </row>
    <row r="27" spans="1:17" ht="28.5" customHeight="1" x14ac:dyDescent="0.2">
      <c r="A27" s="1"/>
      <c r="B27" s="6"/>
      <c r="C27" s="717"/>
      <c r="D27" s="621"/>
      <c r="E27" s="623"/>
      <c r="F27" s="625"/>
      <c r="G27" s="627"/>
      <c r="H27" s="629"/>
      <c r="I27" s="659"/>
      <c r="J27" s="633"/>
      <c r="K27" s="137"/>
      <c r="L27" s="635"/>
      <c r="M27" s="590"/>
      <c r="N27" s="591"/>
      <c r="O27" s="593"/>
      <c r="P27" s="595"/>
      <c r="Q27" s="575"/>
    </row>
    <row r="28" spans="1:17" ht="28.5" customHeight="1" x14ac:dyDescent="0.2">
      <c r="A28" s="1"/>
      <c r="B28" s="6"/>
      <c r="C28" s="717"/>
      <c r="D28" s="130" t="str">
        <f>VLOOKUP($P28,TOV!$A$4:$E$65536,2,FALSE)</f>
        <v>Purchase of clean fill material where there is a shortage on site</v>
      </c>
      <c r="E28" s="148" t="s">
        <v>515</v>
      </c>
      <c r="F28" s="155"/>
      <c r="G28" s="355" t="s">
        <v>38</v>
      </c>
      <c r="H28" s="134">
        <f>VLOOKUP($P28,TOV!$A$4:$E$65536,4,FALSE)</f>
        <v>6.5283556799999998</v>
      </c>
      <c r="I28" s="356"/>
      <c r="J28" s="136">
        <f t="shared" ref="J28" si="1">IF($E28="Y",IF(I28=0,F28*H28,F28*I28),"")</f>
        <v>0</v>
      </c>
      <c r="K28" s="157"/>
      <c r="L28" s="474" t="s">
        <v>670</v>
      </c>
      <c r="M28" s="162"/>
      <c r="N28" s="158"/>
      <c r="O28" s="151">
        <f t="shared" ref="O28" si="2">IF(I28="",0,1)</f>
        <v>0</v>
      </c>
      <c r="P28" s="357" t="s">
        <v>671</v>
      </c>
      <c r="Q28" s="224"/>
    </row>
    <row r="29" spans="1:17" ht="33.75" x14ac:dyDescent="0.2">
      <c r="A29" s="1"/>
      <c r="B29" s="6"/>
      <c r="C29" s="717"/>
      <c r="D29" s="180" t="str">
        <f>VLOOKUP($P29,TOV!$A$4:$E$65536,2,FALSE)</f>
        <v>Construct safety berm, catch bench and barrier around the pit perimeter (required where final pit will include steep faces).</v>
      </c>
      <c r="E29" s="148" t="s">
        <v>515</v>
      </c>
      <c r="F29" s="181"/>
      <c r="G29" s="189" t="s">
        <v>101</v>
      </c>
      <c r="H29" s="156">
        <f>VLOOKUP($P29,TOV!$A$4:$E$65536,4,FALSE)</f>
        <v>58.761055777564444</v>
      </c>
      <c r="I29" s="163"/>
      <c r="J29" s="136">
        <f>IF($E29="Y",IF(I29=0,F29*H29,F29*I29),"")</f>
        <v>0</v>
      </c>
      <c r="K29" s="137"/>
      <c r="L29" s="474" t="s">
        <v>672</v>
      </c>
      <c r="M29" s="7"/>
      <c r="O29" s="151">
        <f t="shared" si="0"/>
        <v>0</v>
      </c>
      <c r="P29" s="152" t="s">
        <v>180</v>
      </c>
      <c r="Q29" s="153"/>
    </row>
    <row r="30" spans="1:17" ht="33.75" x14ac:dyDescent="0.2">
      <c r="A30" s="1"/>
      <c r="B30" s="6"/>
      <c r="C30" s="717"/>
      <c r="D30" s="180" t="str">
        <f>VLOOKUP($P30,TOV!$A$4:$E$65536,2,FALSE)</f>
        <v>Erect a 6' chain mesh security fence around the top face where the final pit will include steep faces</v>
      </c>
      <c r="E30" s="148" t="s">
        <v>515</v>
      </c>
      <c r="F30" s="181"/>
      <c r="G30" s="149" t="s">
        <v>101</v>
      </c>
      <c r="H30" s="156">
        <f>VLOOKUP($P30,TOV!$A$4:$E$65536,4,FALSE)</f>
        <v>51.096570241360382</v>
      </c>
      <c r="I30" s="163"/>
      <c r="J30" s="136">
        <f>IF($E30="Y",IF(I30=0,F30*H30,F30*I30),"")</f>
        <v>0</v>
      </c>
      <c r="K30" s="137"/>
      <c r="L30" s="474" t="s">
        <v>673</v>
      </c>
      <c r="M30" s="7"/>
      <c r="O30" s="151">
        <f t="shared" si="0"/>
        <v>0</v>
      </c>
      <c r="P30" s="152" t="s">
        <v>237</v>
      </c>
      <c r="Q30" s="153"/>
    </row>
    <row r="31" spans="1:17" ht="12.75" customHeight="1" x14ac:dyDescent="0.2">
      <c r="A31" s="1"/>
      <c r="B31" s="6"/>
      <c r="C31" s="717"/>
      <c r="D31" s="621" t="str">
        <f>VLOOKUP($P31,TOV!$A$4:$E$65536,2,FALSE)</f>
        <v>Backfilling faces and benches as specified in the work plan</v>
      </c>
      <c r="E31" s="623" t="s">
        <v>515</v>
      </c>
      <c r="F31" s="625"/>
      <c r="G31" s="627" t="s">
        <v>82</v>
      </c>
      <c r="H31" s="629" t="str">
        <f>VLOOKUP($P31,TOV!$A$4:$E$65536,4,FALSE)</f>
        <v>Select from List</v>
      </c>
      <c r="I31" s="659"/>
      <c r="J31" s="633" t="str">
        <f>IF($E31="Y",IF(I31=0,IF(H31="Select From List","",F31*H31),F31*I31),"")</f>
        <v/>
      </c>
      <c r="K31" s="137" t="s">
        <v>514</v>
      </c>
      <c r="L31" s="635" t="s">
        <v>674</v>
      </c>
      <c r="M31" s="590"/>
      <c r="N31" s="591"/>
      <c r="O31" s="592">
        <f t="shared" si="0"/>
        <v>0</v>
      </c>
      <c r="P31" s="594" t="str">
        <f>IF(Q31=1,"X074",IF(Q31=2,"X075",IF(Q31=3,"X076",IF(Q31=4,"X077",IF(Q31=5,"X078","X074")))))</f>
        <v>X074</v>
      </c>
      <c r="Q31" s="574">
        <f>VLOOKUP(K31,Select_Haul_Distance_Index,2,FALSE)</f>
        <v>1</v>
      </c>
    </row>
    <row r="32" spans="1:17" ht="28.5" customHeight="1" x14ac:dyDescent="0.2">
      <c r="A32" s="1"/>
      <c r="B32" s="6"/>
      <c r="C32" s="717"/>
      <c r="D32" s="621"/>
      <c r="E32" s="623"/>
      <c r="F32" s="625"/>
      <c r="G32" s="627"/>
      <c r="H32" s="629"/>
      <c r="I32" s="659"/>
      <c r="J32" s="633"/>
      <c r="K32" s="137"/>
      <c r="L32" s="635"/>
      <c r="M32" s="590"/>
      <c r="N32" s="591"/>
      <c r="O32" s="593"/>
      <c r="P32" s="595"/>
      <c r="Q32" s="575"/>
    </row>
    <row r="33" spans="1:41" ht="27" customHeight="1" x14ac:dyDescent="0.2">
      <c r="A33" s="1"/>
      <c r="B33" s="6"/>
      <c r="C33" s="717"/>
      <c r="D33" s="180" t="str">
        <f>VLOOKUP($P33,TOV!$A$4:$E$65536,2,FALSE)</f>
        <v>Engineering treatment to stabilise the faces on the benches (compaction of the backfill)</v>
      </c>
      <c r="E33" s="148" t="s">
        <v>515</v>
      </c>
      <c r="F33" s="181"/>
      <c r="G33" s="149" t="s">
        <v>82</v>
      </c>
      <c r="H33" s="156">
        <f>VLOOKUP($P33,TOV!$A$4:$E$65536,4,FALSE)</f>
        <v>1.2774142560340096</v>
      </c>
      <c r="I33" s="163"/>
      <c r="J33" s="136">
        <f>IF($E33="Y",IF(I33=0,F33*H33,F33*I33),"")</f>
        <v>0</v>
      </c>
      <c r="K33" s="137"/>
      <c r="L33" s="474" t="s">
        <v>675</v>
      </c>
      <c r="M33" s="7"/>
      <c r="O33" s="151">
        <f t="shared" si="0"/>
        <v>0</v>
      </c>
      <c r="P33" s="152" t="s">
        <v>231</v>
      </c>
      <c r="Q33" s="153"/>
    </row>
    <row r="34" spans="1:41" ht="27" customHeight="1" thickBot="1" x14ac:dyDescent="0.25">
      <c r="A34" s="102"/>
      <c r="B34" s="218"/>
      <c r="C34" s="717"/>
      <c r="D34" s="191" t="str">
        <f>VLOOKUP($P34,TOV!$A$4:$E$65536,2,FALSE)</f>
        <v>Construct a standard stock fence around the site</v>
      </c>
      <c r="E34" s="192" t="s">
        <v>515</v>
      </c>
      <c r="F34" s="193"/>
      <c r="G34" s="194" t="s">
        <v>101</v>
      </c>
      <c r="H34" s="195">
        <f>VLOOKUP($P34,TOV!$A$4:$E$65536,4,FALSE)</f>
        <v>8.1754512386176614</v>
      </c>
      <c r="I34" s="196"/>
      <c r="J34" s="197">
        <f>IF($E34="Y",IF(I34=0,F34*H34,F34*I34),"")</f>
        <v>0</v>
      </c>
      <c r="K34" s="213"/>
      <c r="L34" s="479" t="s">
        <v>608</v>
      </c>
      <c r="M34" s="162"/>
      <c r="N34" s="158"/>
      <c r="O34" s="166">
        <f t="shared" si="0"/>
        <v>0</v>
      </c>
      <c r="P34" s="358" t="s">
        <v>178</v>
      </c>
      <c r="Q34" s="168"/>
    </row>
    <row r="35" spans="1:41" ht="13.5" thickBot="1" x14ac:dyDescent="0.25">
      <c r="A35" s="1"/>
      <c r="B35" s="6"/>
      <c r="C35" s="260"/>
      <c r="D35" s="270"/>
      <c r="E35" s="270"/>
      <c r="F35" s="359" t="s">
        <v>573</v>
      </c>
      <c r="G35" s="360"/>
      <c r="H35" s="361"/>
      <c r="I35" s="361"/>
      <c r="J35" s="362">
        <f>SUM(J20:J34)</f>
        <v>0</v>
      </c>
      <c r="K35" s="363"/>
      <c r="L35" s="477"/>
      <c r="M35" s="7"/>
      <c r="O35" s="649"/>
      <c r="P35" s="650"/>
      <c r="Q35" s="651"/>
    </row>
    <row r="36" spans="1:41" ht="56.25" x14ac:dyDescent="0.2">
      <c r="A36" s="1"/>
      <c r="B36" s="6"/>
      <c r="C36" s="580" t="s">
        <v>616</v>
      </c>
      <c r="D36" s="130" t="str">
        <f>VLOOKUP($P36,TOV!$A$4:$E$65536,2,FALSE)</f>
        <v>Clean small surface water management dams (include all structures) to be retained after mine closure  - make safe and minor earthworks to stabilise the water management structure. ( &lt; 5 ML)</v>
      </c>
      <c r="E36" s="198" t="s">
        <v>515</v>
      </c>
      <c r="F36" s="155"/>
      <c r="G36" s="143" t="s">
        <v>41</v>
      </c>
      <c r="H36" s="134">
        <f>VLOOKUP($P36,TOV!$A$4:$E$65536,4,FALSE)</f>
        <v>2043.8628096544155</v>
      </c>
      <c r="I36" s="144"/>
      <c r="J36" s="199">
        <f>IF($E36="Y",IF(I36=0,F36*H36,F36*I36),"")</f>
        <v>0</v>
      </c>
      <c r="K36" s="157"/>
      <c r="L36" s="480" t="s">
        <v>617</v>
      </c>
      <c r="M36" s="7"/>
      <c r="O36" s="138">
        <f t="shared" si="0"/>
        <v>0</v>
      </c>
      <c r="P36" s="139" t="s">
        <v>174</v>
      </c>
      <c r="Q36" s="140"/>
    </row>
    <row r="37" spans="1:41" ht="22.5" x14ac:dyDescent="0.2">
      <c r="A37" s="1"/>
      <c r="B37" s="6"/>
      <c r="C37" s="580"/>
      <c r="D37" s="230" t="str">
        <f>VLOOKUP($P37,TOV!$A$4:$E$65536,2,FALSE)</f>
        <v>Pumping costs for water, includes hire of pumps, labour to manage pumping and fuel</v>
      </c>
      <c r="E37" s="148" t="s">
        <v>515</v>
      </c>
      <c r="F37" s="181"/>
      <c r="G37" s="149" t="s">
        <v>491</v>
      </c>
      <c r="H37" s="156">
        <f>VLOOKUP($P37,TOV!$A$4:$E$65536,4,FALSE)</f>
        <v>85.313738999999984</v>
      </c>
      <c r="I37" s="163"/>
      <c r="J37" s="136">
        <f>IF($E37="Y",IF(I37=0,F37*H37,F37*I37),"")</f>
        <v>0</v>
      </c>
      <c r="K37" s="137"/>
      <c r="L37" s="474" t="s">
        <v>618</v>
      </c>
      <c r="M37" s="7"/>
      <c r="O37" s="159">
        <f>IF(I37="",0,1)</f>
        <v>0</v>
      </c>
      <c r="P37" s="160" t="s">
        <v>489</v>
      </c>
      <c r="Q37" s="147"/>
    </row>
    <row r="38" spans="1:41" ht="22.5" x14ac:dyDescent="0.2">
      <c r="A38" s="1"/>
      <c r="B38" s="6"/>
      <c r="C38" s="580"/>
      <c r="D38" s="230" t="str">
        <f>VLOOKUP($P38,TOV!$A$4:$E$65536,2,FALSE)</f>
        <v>Removal of plastic pond liners for offsite disposal</v>
      </c>
      <c r="E38" s="148" t="s">
        <v>515</v>
      </c>
      <c r="F38" s="181"/>
      <c r="G38" s="149" t="s">
        <v>47</v>
      </c>
      <c r="H38" s="156">
        <f>VLOOKUP($P38,TOV!$A$4:$E$65536,4,FALSE)</f>
        <v>3227.0849099999996</v>
      </c>
      <c r="I38" s="163"/>
      <c r="J38" s="136">
        <f>IF($E38="Y",IF(I38=0,F38*H38,F38*I38),"")</f>
        <v>0</v>
      </c>
      <c r="K38" s="137"/>
      <c r="L38" s="474" t="s">
        <v>619</v>
      </c>
      <c r="M38" s="7"/>
      <c r="O38" s="159">
        <f>IF(I38="",0,1)</f>
        <v>0</v>
      </c>
      <c r="P38" s="160" t="s">
        <v>487</v>
      </c>
      <c r="Q38" s="147"/>
    </row>
    <row r="39" spans="1:41" ht="27" customHeight="1" thickBot="1" x14ac:dyDescent="0.25">
      <c r="A39" s="107"/>
      <c r="B39" s="117"/>
      <c r="C39" s="580"/>
      <c r="D39" s="232" t="str">
        <f>VLOOKUP($P39,TOV!$A$4:$E$65536,2,FALSE)</f>
        <v>OR Backfill dams and reinstate to natural surface.  (Push only)</v>
      </c>
      <c r="E39" s="184" t="s">
        <v>515</v>
      </c>
      <c r="F39" s="185"/>
      <c r="G39" s="164" t="s">
        <v>38</v>
      </c>
      <c r="H39" s="186">
        <f>VLOOKUP($P39,TOV!$A$4:$E$65536,4,FALSE)</f>
        <v>0.64087223692553696</v>
      </c>
      <c r="I39" s="165"/>
      <c r="J39" s="233">
        <f>IF($E39="Y",IF(I39=0,F39*H39,F39*I39),"")</f>
        <v>0</v>
      </c>
      <c r="K39" s="137"/>
      <c r="L39" s="484" t="s">
        <v>620</v>
      </c>
      <c r="M39" s="231"/>
      <c r="N39" s="102"/>
      <c r="O39" s="159">
        <f t="shared" si="0"/>
        <v>0</v>
      </c>
      <c r="P39" s="160" t="s">
        <v>460</v>
      </c>
      <c r="Q39" s="234"/>
      <c r="R39" s="235"/>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row>
    <row r="40" spans="1:41" ht="13.5" thickBot="1" x14ac:dyDescent="0.25">
      <c r="A40" s="1"/>
      <c r="B40" s="6"/>
      <c r="C40" s="205"/>
      <c r="D40" s="364"/>
      <c r="E40" s="364"/>
      <c r="F40" s="365" t="s">
        <v>573</v>
      </c>
      <c r="G40" s="366"/>
      <c r="H40" s="367"/>
      <c r="I40" s="367"/>
      <c r="J40" s="368">
        <f>SUM(J36:J39)</f>
        <v>0</v>
      </c>
      <c r="K40" s="369"/>
      <c r="L40" s="499"/>
      <c r="M40" s="7"/>
      <c r="O40" s="649"/>
      <c r="P40" s="650"/>
      <c r="Q40" s="651"/>
    </row>
    <row r="41" spans="1:41" ht="33.75" x14ac:dyDescent="0.2">
      <c r="A41" s="1"/>
      <c r="B41" s="6"/>
      <c r="C41" s="614" t="s">
        <v>601</v>
      </c>
      <c r="D41" s="225" t="str">
        <f>VLOOKUP($P41,TOV!$A$4:$E$65536,2,FALSE)</f>
        <v>Shaping or levelling of minor excavations, batters and stockpiles, final trim, rock rake and deep rip</v>
      </c>
      <c r="E41" s="210" t="s">
        <v>515</v>
      </c>
      <c r="F41" s="226"/>
      <c r="G41" s="133" t="s">
        <v>47</v>
      </c>
      <c r="H41" s="212">
        <f>VLOOKUP($P41,TOV!$A$4:$E$65536,4,FALSE)</f>
        <v>1328.5108262753702</v>
      </c>
      <c r="I41" s="135"/>
      <c r="J41" s="228">
        <f t="shared" ref="J41:J56" si="3">IF($E41="Y",IF(I41=0,F41*H41,F41*I41),"")</f>
        <v>0</v>
      </c>
      <c r="K41" s="229"/>
      <c r="L41" s="478" t="s">
        <v>602</v>
      </c>
      <c r="M41" s="7"/>
      <c r="O41" s="138">
        <f t="shared" si="0"/>
        <v>0</v>
      </c>
      <c r="P41" s="139" t="s">
        <v>273</v>
      </c>
      <c r="Q41" s="140"/>
    </row>
    <row r="42" spans="1:41" ht="27" x14ac:dyDescent="0.2">
      <c r="A42" s="1"/>
      <c r="B42" s="6"/>
      <c r="C42" s="614"/>
      <c r="D42" s="180" t="str">
        <f>VLOOKUP($P42,TOV!$A$4:$E$65536,2,FALSE)</f>
        <v>Reshaping of overburden and mullock heaps on the site.</v>
      </c>
      <c r="E42" s="148" t="s">
        <v>515</v>
      </c>
      <c r="F42" s="181"/>
      <c r="G42" s="149" t="s">
        <v>47</v>
      </c>
      <c r="H42" s="156">
        <f>VLOOKUP($P42,TOV!$A$4:$E$65536,4,FALSE)</f>
        <v>3377.5698973102621</v>
      </c>
      <c r="I42" s="163"/>
      <c r="J42" s="136">
        <f>IF($E42="Y",IF(I42=0,F42*H42,F42*I42),"")</f>
        <v>0</v>
      </c>
      <c r="K42" s="137"/>
      <c r="L42" s="474" t="s">
        <v>657</v>
      </c>
      <c r="M42" s="7"/>
      <c r="O42" s="151">
        <f>IF(I42="",0,1)</f>
        <v>0</v>
      </c>
      <c r="P42" s="303" t="s">
        <v>371</v>
      </c>
      <c r="Q42" s="153"/>
    </row>
    <row r="43" spans="1:41" ht="18" x14ac:dyDescent="0.2">
      <c r="A43" s="1"/>
      <c r="B43" s="6"/>
      <c r="C43" s="614"/>
      <c r="D43" s="180" t="str">
        <f>VLOOKUP($P43,TOV!$A$4:$E$65536,2,FALSE)</f>
        <v>Deep Ripping</v>
      </c>
      <c r="E43" s="148" t="s">
        <v>515</v>
      </c>
      <c r="F43" s="181"/>
      <c r="G43" s="149" t="s">
        <v>47</v>
      </c>
      <c r="H43" s="156">
        <f>VLOOKUP($P43,TOV!$A$4:$E$65536,4,FALSE)</f>
        <v>510.96570241360388</v>
      </c>
      <c r="I43" s="163"/>
      <c r="J43" s="136">
        <f>IF($E43="Y",IF(I43=0,F43*H43,F43*I43),"")</f>
        <v>0</v>
      </c>
      <c r="K43" s="137"/>
      <c r="L43" s="474" t="s">
        <v>676</v>
      </c>
      <c r="M43" s="7"/>
      <c r="O43" s="151">
        <f>IF(I43="",0,1)</f>
        <v>0</v>
      </c>
      <c r="P43" s="303" t="s">
        <v>450</v>
      </c>
      <c r="Q43" s="153"/>
    </row>
    <row r="44" spans="1:41" ht="36" x14ac:dyDescent="0.2">
      <c r="A44" s="1"/>
      <c r="B44" s="6"/>
      <c r="C44" s="614"/>
      <c r="D44" s="180" t="str">
        <f>VLOOKUP($P44,TOV!$A$4:$E$65536,2,FALSE)</f>
        <v>Structural water management works, banks, drains, rock lined waterways, sediment dams</v>
      </c>
      <c r="E44" s="148" t="s">
        <v>515</v>
      </c>
      <c r="F44" s="181"/>
      <c r="G44" s="149" t="s">
        <v>47</v>
      </c>
      <c r="H44" s="156">
        <f>VLOOKUP($P44,TOV!$A$4:$E$65536,4,FALSE)</f>
        <v>2043.8628096544155</v>
      </c>
      <c r="I44" s="163"/>
      <c r="J44" s="136">
        <f t="shared" si="3"/>
        <v>0</v>
      </c>
      <c r="K44" s="137"/>
      <c r="L44" s="474" t="s">
        <v>603</v>
      </c>
      <c r="M44" s="7"/>
      <c r="O44" s="151">
        <f t="shared" si="0"/>
        <v>0</v>
      </c>
      <c r="P44" s="152" t="s">
        <v>388</v>
      </c>
      <c r="Q44" s="153"/>
    </row>
    <row r="45" spans="1:41" ht="20.25" x14ac:dyDescent="0.3">
      <c r="A45" s="1"/>
      <c r="B45" s="6"/>
      <c r="C45" s="614"/>
      <c r="D45" s="154" t="str">
        <f>VLOOKUP($P45,TOV!$A$4:$E$65536,2,FALSE)</f>
        <v>Clear and grub existing vegetation</v>
      </c>
      <c r="E45" s="148" t="s">
        <v>515</v>
      </c>
      <c r="F45" s="200"/>
      <c r="G45" s="149" t="s">
        <v>47</v>
      </c>
      <c r="H45" s="201">
        <f>VLOOKUP($P45,TOV!$A$4:$E$65536,4,FALSE)</f>
        <v>3412.5495599999995</v>
      </c>
      <c r="I45" s="220"/>
      <c r="J45" s="136">
        <f t="shared" si="3"/>
        <v>0</v>
      </c>
      <c r="K45" s="157"/>
      <c r="L45" s="483" t="s">
        <v>605</v>
      </c>
      <c r="M45" s="221"/>
      <c r="N45" s="222"/>
      <c r="O45" s="159">
        <f t="shared" si="0"/>
        <v>0</v>
      </c>
      <c r="P45" s="160" t="s">
        <v>606</v>
      </c>
      <c r="Q45" s="153"/>
    </row>
    <row r="46" spans="1:41" ht="22.5" x14ac:dyDescent="0.2">
      <c r="A46" s="1"/>
      <c r="B46" s="6"/>
      <c r="C46" s="614"/>
      <c r="D46" s="180" t="str">
        <f>VLOOKUP($P46,TOV!$A$4:$E$65536,2,FALSE)</f>
        <v>Reshape, deep rip and ameliorate sealed unsealed roads</v>
      </c>
      <c r="E46" s="148" t="s">
        <v>515</v>
      </c>
      <c r="F46" s="181"/>
      <c r="G46" s="149" t="s">
        <v>47</v>
      </c>
      <c r="H46" s="156">
        <f>VLOOKUP($P46,TOV!$A$4:$E$65536,4,FALSE)</f>
        <v>2554.8285120680189</v>
      </c>
      <c r="I46" s="163"/>
      <c r="J46" s="136">
        <f t="shared" si="3"/>
        <v>0</v>
      </c>
      <c r="K46" s="137"/>
      <c r="L46" s="474" t="s">
        <v>647</v>
      </c>
      <c r="M46" s="7"/>
      <c r="O46" s="151">
        <f t="shared" si="0"/>
        <v>0</v>
      </c>
      <c r="P46" s="152" t="s">
        <v>363</v>
      </c>
      <c r="Q46" s="153"/>
    </row>
    <row r="47" spans="1:41" ht="33.75" x14ac:dyDescent="0.2">
      <c r="A47" s="1"/>
      <c r="B47" s="6"/>
      <c r="C47" s="614"/>
      <c r="D47" s="180" t="str">
        <f>VLOOKUP($P47,TOV!$A$4:$E$65536,2,FALSE)</f>
        <v>Maintenance of the rehabilitated areas that are intended to be part of the ongoing closure of the site.</v>
      </c>
      <c r="E47" s="148" t="s">
        <v>515</v>
      </c>
      <c r="F47" s="181"/>
      <c r="G47" s="149" t="s">
        <v>47</v>
      </c>
      <c r="H47" s="156">
        <f>VLOOKUP($P47,TOV!$A$4:$E$65536,4,FALSE)</f>
        <v>664.25541313768508</v>
      </c>
      <c r="I47" s="163"/>
      <c r="J47" s="136">
        <f t="shared" si="3"/>
        <v>0</v>
      </c>
      <c r="K47" s="137"/>
      <c r="L47" s="474" t="s">
        <v>659</v>
      </c>
      <c r="M47" s="7"/>
      <c r="O47" s="151">
        <f t="shared" si="0"/>
        <v>0</v>
      </c>
      <c r="P47" s="152" t="s">
        <v>52</v>
      </c>
      <c r="Q47" s="153"/>
    </row>
    <row r="48" spans="1:41" ht="27" x14ac:dyDescent="0.2">
      <c r="A48" s="1"/>
      <c r="B48" s="6"/>
      <c r="C48" s="614"/>
      <c r="D48" s="180" t="str">
        <f>VLOOKUP($P48,TOV!$A$4:$E$65536,2,FALSE)</f>
        <v>Construct a standard stock fence around the site</v>
      </c>
      <c r="E48" s="148" t="s">
        <v>515</v>
      </c>
      <c r="F48" s="181"/>
      <c r="G48" s="149" t="s">
        <v>101</v>
      </c>
      <c r="H48" s="156">
        <f>VLOOKUP($P48,TOV!$A$4:$E$65536,4,FALSE)</f>
        <v>8.1754512386176614</v>
      </c>
      <c r="I48" s="163"/>
      <c r="J48" s="136">
        <f t="shared" si="3"/>
        <v>0</v>
      </c>
      <c r="K48" s="137"/>
      <c r="L48" s="474" t="s">
        <v>608</v>
      </c>
      <c r="M48" s="7"/>
      <c r="O48" s="151">
        <f t="shared" si="0"/>
        <v>0</v>
      </c>
      <c r="P48" s="152" t="s">
        <v>178</v>
      </c>
      <c r="Q48" s="153"/>
    </row>
    <row r="49" spans="1:18" ht="12.75" customHeight="1" x14ac:dyDescent="0.2">
      <c r="A49" s="1"/>
      <c r="B49" s="6"/>
      <c r="C49" s="614"/>
      <c r="D49" s="621" t="str">
        <f>VLOOKUP($P49,TOV!$A$4:$E$65536,2,FALSE)</f>
        <v>Source (where availiable onsite), cart, spread and lightly rip topsoil</v>
      </c>
      <c r="E49" s="623" t="s">
        <v>515</v>
      </c>
      <c r="F49" s="625"/>
      <c r="G49" s="627" t="s">
        <v>82</v>
      </c>
      <c r="H49" s="629" t="str">
        <f>VLOOKUP($P49,TOV!$A$4:$E$65536,4,FALSE)</f>
        <v>Select from List</v>
      </c>
      <c r="I49" s="659"/>
      <c r="J49" s="633" t="str">
        <f>IF($E49="Y",IF(I49=0,IF(H49="Select From List","",F49*H49),F49*I49),"")</f>
        <v/>
      </c>
      <c r="K49" s="137" t="s">
        <v>514</v>
      </c>
      <c r="L49" s="635" t="s">
        <v>609</v>
      </c>
      <c r="M49" s="590"/>
      <c r="N49" s="591"/>
      <c r="O49" s="714">
        <f t="shared" si="0"/>
        <v>0</v>
      </c>
      <c r="P49" s="715" t="str">
        <f>IF(Q49=1,"X044",IF(Q49=2,"X045",IF(Q49=3,"X046",IF(Q49=4,"x047",IF(Q49=5,"X048","X044")))))</f>
        <v>X044</v>
      </c>
      <c r="Q49" s="574">
        <f>VLOOKUP(K49,Select_Haul_Distance_Index,2,FALSE)</f>
        <v>1</v>
      </c>
    </row>
    <row r="50" spans="1:18" ht="27" customHeight="1" x14ac:dyDescent="0.2">
      <c r="A50" s="1"/>
      <c r="B50" s="6"/>
      <c r="C50" s="614"/>
      <c r="D50" s="621"/>
      <c r="E50" s="623"/>
      <c r="F50" s="625"/>
      <c r="G50" s="627"/>
      <c r="H50" s="629"/>
      <c r="I50" s="659"/>
      <c r="J50" s="633"/>
      <c r="K50" s="137"/>
      <c r="L50" s="635"/>
      <c r="M50" s="590"/>
      <c r="N50" s="591"/>
      <c r="O50" s="714"/>
      <c r="P50" s="715"/>
      <c r="Q50" s="575"/>
    </row>
    <row r="51" spans="1:18" s="1" customFormat="1" ht="33.75" x14ac:dyDescent="0.2">
      <c r="A51" s="102"/>
      <c r="B51" s="218"/>
      <c r="C51" s="614"/>
      <c r="D51" s="154" t="str">
        <f>VLOOKUP($P51,TOV!$A$4:$E$65536,2,FALSE)</f>
        <v>Topsoil spreading (topsoil stockpiled immediately adjacent to the area to be rehabilitated) for push &lt; 50m</v>
      </c>
      <c r="E51" s="148" t="s">
        <v>515</v>
      </c>
      <c r="F51" s="200"/>
      <c r="G51" s="149" t="s">
        <v>82</v>
      </c>
      <c r="H51" s="201">
        <f>VLOOKUP($P51,TOV!$A$4:$E$65536,4,FALSE)</f>
        <v>0.91973826434448702</v>
      </c>
      <c r="I51" s="307"/>
      <c r="J51" s="136">
        <f>IF($E51="Y",IF(I51=0,F51*H51,F51*I51),"")</f>
        <v>0</v>
      </c>
      <c r="K51" s="157"/>
      <c r="L51" s="474" t="s">
        <v>660</v>
      </c>
      <c r="M51" s="308"/>
      <c r="N51" s="309"/>
      <c r="O51" s="258">
        <f>IF(I51="",0,1)</f>
        <v>0</v>
      </c>
      <c r="P51" s="310" t="s">
        <v>448</v>
      </c>
      <c r="Q51" s="311"/>
      <c r="R51" s="312"/>
    </row>
    <row r="52" spans="1:18" s="1" customFormat="1" ht="36" x14ac:dyDescent="0.2">
      <c r="A52" s="102"/>
      <c r="B52" s="218"/>
      <c r="C52" s="614"/>
      <c r="D52" s="154" t="str">
        <f>VLOOKUP($P52,TOV!$A$4:$E$65536,2,FALSE)</f>
        <v>Purchase of topsoil where there is a shortage on site</v>
      </c>
      <c r="E52" s="148" t="s">
        <v>515</v>
      </c>
      <c r="F52" s="200"/>
      <c r="G52" s="149" t="s">
        <v>38</v>
      </c>
      <c r="H52" s="201">
        <f>VLOOKUP($P52,TOV!$A$4:$E$65536,4,FALSE)</f>
        <v>34.622540861999994</v>
      </c>
      <c r="I52" s="220"/>
      <c r="J52" s="136">
        <f t="shared" ref="J52" si="4">IF($E52="Y",IF(I52=0,F52*H52,F52*I52),"")</f>
        <v>0</v>
      </c>
      <c r="K52" s="157"/>
      <c r="L52" s="475" t="s">
        <v>610</v>
      </c>
      <c r="M52" s="162"/>
      <c r="N52" s="16"/>
      <c r="O52" s="159">
        <f t="shared" ref="O52" si="5">IF(I52="",0,1)</f>
        <v>0</v>
      </c>
      <c r="P52" s="160" t="s">
        <v>611</v>
      </c>
      <c r="Q52" s="311"/>
      <c r="R52" s="312"/>
    </row>
    <row r="53" spans="1:18" ht="27" customHeight="1" x14ac:dyDescent="0.2">
      <c r="A53" s="1"/>
      <c r="B53" s="6"/>
      <c r="C53" s="614"/>
      <c r="D53" s="180" t="str">
        <f>VLOOKUP($P53,TOV!$A$4:$E$65536,2,FALSE)</f>
        <v>Soil amelioration (adding gypsum, lime, etc)</v>
      </c>
      <c r="E53" s="148" t="s">
        <v>515</v>
      </c>
      <c r="F53" s="181"/>
      <c r="G53" s="149" t="s">
        <v>47</v>
      </c>
      <c r="H53" s="156">
        <f>VLOOKUP($P53,TOV!$A$4:$E$65536,4,FALSE)</f>
        <v>510.96570241360388</v>
      </c>
      <c r="I53" s="163"/>
      <c r="J53" s="136">
        <f t="shared" si="3"/>
        <v>0</v>
      </c>
      <c r="K53" s="137"/>
      <c r="L53" s="474" t="s">
        <v>612</v>
      </c>
      <c r="M53" s="7"/>
      <c r="O53" s="151">
        <f t="shared" si="0"/>
        <v>0</v>
      </c>
      <c r="P53" s="152" t="s">
        <v>119</v>
      </c>
      <c r="Q53" s="153"/>
    </row>
    <row r="54" spans="1:18" ht="63" x14ac:dyDescent="0.2">
      <c r="A54" s="1"/>
      <c r="B54" s="6"/>
      <c r="C54" s="614"/>
      <c r="D54" s="180" t="str">
        <f>VLOOKUP($P54,TOV!$A$4:$E$65536,2,FALSE)</f>
        <v>Direct seeding (native tree species OR using native grasses), with single application of fertiliser</v>
      </c>
      <c r="E54" s="148" t="s">
        <v>515</v>
      </c>
      <c r="F54" s="181"/>
      <c r="G54" s="149" t="s">
        <v>47</v>
      </c>
      <c r="H54" s="156">
        <f>VLOOKUP($P54,TOV!$A$4:$E$65536,4,FALSE)</f>
        <v>3576.7599168952274</v>
      </c>
      <c r="I54" s="163"/>
      <c r="J54" s="136">
        <f t="shared" si="3"/>
        <v>0</v>
      </c>
      <c r="K54" s="137"/>
      <c r="L54" s="474" t="s">
        <v>613</v>
      </c>
      <c r="M54" s="7"/>
      <c r="O54" s="151">
        <f t="shared" si="0"/>
        <v>0</v>
      </c>
      <c r="P54" s="152" t="s">
        <v>121</v>
      </c>
      <c r="Q54" s="153"/>
    </row>
    <row r="55" spans="1:18" ht="63" x14ac:dyDescent="0.2">
      <c r="A55" s="1"/>
      <c r="B55" s="6"/>
      <c r="C55" s="614"/>
      <c r="D55" s="180" t="str">
        <f>VLOOKUP($P55,TOV!$A$4:$E$65536,2,FALSE)</f>
        <v>Direct seeding (pasture grass species), with single application of fertiliser</v>
      </c>
      <c r="E55" s="148" t="s">
        <v>515</v>
      </c>
      <c r="F55" s="181"/>
      <c r="G55" s="149" t="s">
        <v>47</v>
      </c>
      <c r="H55" s="156">
        <f>VLOOKUP($P55,TOV!$A$4:$E$65536,4,FALSE)</f>
        <v>919.73826434448688</v>
      </c>
      <c r="I55" s="163"/>
      <c r="J55" s="136">
        <f t="shared" si="3"/>
        <v>0</v>
      </c>
      <c r="K55" s="137"/>
      <c r="L55" s="474" t="s">
        <v>614</v>
      </c>
      <c r="M55" s="7"/>
      <c r="O55" s="151">
        <f t="shared" si="0"/>
        <v>0</v>
      </c>
      <c r="P55" s="152" t="s">
        <v>123</v>
      </c>
      <c r="Q55" s="153"/>
    </row>
    <row r="56" spans="1:18" ht="27" customHeight="1" thickBot="1" x14ac:dyDescent="0.25">
      <c r="A56" s="1"/>
      <c r="B56" s="6"/>
      <c r="C56" s="614"/>
      <c r="D56" s="191" t="str">
        <f>VLOOKUP($P56,TOV!$A$4:$E$65536,2,FALSE)</f>
        <v>Planting tubestock (&lt; 15cm)</v>
      </c>
      <c r="E56" s="192" t="s">
        <v>515</v>
      </c>
      <c r="F56" s="193"/>
      <c r="G56" s="194" t="s">
        <v>41</v>
      </c>
      <c r="H56" s="195">
        <f>VLOOKUP($P56,TOV!$A$4:$E$65536,4,FALSE)</f>
        <v>8.6604356341288788</v>
      </c>
      <c r="I56" s="196"/>
      <c r="J56" s="197">
        <f t="shared" si="3"/>
        <v>0</v>
      </c>
      <c r="K56" s="213"/>
      <c r="L56" s="479" t="s">
        <v>615</v>
      </c>
      <c r="M56" s="7"/>
      <c r="O56" s="151">
        <f t="shared" si="0"/>
        <v>0</v>
      </c>
      <c r="P56" s="152" t="s">
        <v>129</v>
      </c>
      <c r="Q56" s="153"/>
    </row>
    <row r="57" spans="1:18" ht="13.5" thickBot="1" x14ac:dyDescent="0.25">
      <c r="A57" s="1"/>
      <c r="B57" s="6"/>
      <c r="C57" s="205"/>
      <c r="D57" s="206"/>
      <c r="E57" s="207"/>
      <c r="F57" s="171" t="s">
        <v>573</v>
      </c>
      <c r="G57" s="171"/>
      <c r="H57" s="171"/>
      <c r="I57" s="208"/>
      <c r="J57" s="209">
        <f>SUM(J41:J56)</f>
        <v>0</v>
      </c>
      <c r="K57" s="209"/>
      <c r="L57" s="481"/>
      <c r="M57" s="7"/>
      <c r="O57" s="649"/>
      <c r="P57" s="650"/>
      <c r="Q57" s="651"/>
    </row>
    <row r="58" spans="1:18" ht="12.75" x14ac:dyDescent="0.2">
      <c r="A58" s="1"/>
      <c r="B58" s="6"/>
      <c r="C58" s="667" t="s">
        <v>621</v>
      </c>
      <c r="D58" s="370" t="s">
        <v>622</v>
      </c>
      <c r="E58" s="133"/>
      <c r="F58" s="237"/>
      <c r="G58" s="133"/>
      <c r="H58" s="652"/>
      <c r="I58" s="135"/>
      <c r="J58" s="238">
        <f>F58*I58</f>
        <v>0</v>
      </c>
      <c r="K58" s="238"/>
      <c r="L58" s="500" t="s">
        <v>623</v>
      </c>
      <c r="M58" s="7"/>
      <c r="O58" s="138">
        <f t="shared" si="0"/>
        <v>0</v>
      </c>
      <c r="P58" s="266"/>
      <c r="Q58" s="140"/>
    </row>
    <row r="59" spans="1:18" ht="12.75" x14ac:dyDescent="0.2">
      <c r="A59" s="1"/>
      <c r="B59" s="6"/>
      <c r="C59" s="581"/>
      <c r="D59" s="371" t="s">
        <v>624</v>
      </c>
      <c r="E59" s="149"/>
      <c r="F59" s="240"/>
      <c r="G59" s="149"/>
      <c r="H59" s="653"/>
      <c r="I59" s="163"/>
      <c r="J59" s="241">
        <f>F59*I59</f>
        <v>0</v>
      </c>
      <c r="K59" s="241"/>
      <c r="L59" s="501" t="s">
        <v>623</v>
      </c>
      <c r="M59" s="7"/>
      <c r="O59" s="151">
        <f t="shared" si="0"/>
        <v>0</v>
      </c>
      <c r="P59" s="267"/>
      <c r="Q59" s="153"/>
    </row>
    <row r="60" spans="1:18" ht="13.5" thickBot="1" x14ac:dyDescent="0.25">
      <c r="A60" s="1"/>
      <c r="B60" s="6"/>
      <c r="C60" s="581"/>
      <c r="D60" s="372" t="s">
        <v>625</v>
      </c>
      <c r="E60" s="164"/>
      <c r="F60" s="243"/>
      <c r="G60" s="164"/>
      <c r="H60" s="654"/>
      <c r="I60" s="165"/>
      <c r="J60" s="268">
        <f>F60*I60</f>
        <v>0</v>
      </c>
      <c r="K60" s="244"/>
      <c r="L60" s="502" t="s">
        <v>623</v>
      </c>
      <c r="M60" s="7"/>
      <c r="O60" s="166">
        <f t="shared" si="0"/>
        <v>0</v>
      </c>
      <c r="P60" s="269"/>
      <c r="Q60" s="168"/>
    </row>
    <row r="61" spans="1:18" ht="13.5" thickBot="1" x14ac:dyDescent="0.25">
      <c r="A61" s="1"/>
      <c r="B61" s="6"/>
      <c r="C61" s="260"/>
      <c r="D61" s="270"/>
      <c r="E61" s="270"/>
      <c r="F61" s="359" t="s">
        <v>573</v>
      </c>
      <c r="G61" s="360"/>
      <c r="H61" s="361"/>
      <c r="I61" s="361"/>
      <c r="J61" s="362">
        <f>SUM(J58:J60)</f>
        <v>0</v>
      </c>
      <c r="K61" s="373"/>
      <c r="L61" s="477"/>
      <c r="M61" s="7"/>
      <c r="O61" s="711"/>
      <c r="P61" s="712"/>
      <c r="Q61" s="713"/>
    </row>
    <row r="62" spans="1:18" ht="15" x14ac:dyDescent="0.2">
      <c r="A62" s="1"/>
      <c r="B62" s="6"/>
      <c r="C62" s="214"/>
      <c r="D62" s="214"/>
      <c r="E62" s="214"/>
      <c r="F62" s="214"/>
      <c r="G62" s="214"/>
      <c r="H62" s="214"/>
      <c r="I62" s="214"/>
      <c r="J62" s="214"/>
      <c r="K62" s="214"/>
      <c r="L62" s="491"/>
      <c r="M62" s="7"/>
      <c r="O62" s="1"/>
      <c r="P62" s="1"/>
      <c r="Q62" s="16"/>
    </row>
    <row r="63" spans="1:18" ht="15.75" x14ac:dyDescent="0.2">
      <c r="A63" s="1"/>
      <c r="B63" s="6"/>
      <c r="C63" s="246" t="s">
        <v>627</v>
      </c>
      <c r="D63" s="655" t="s">
        <v>628</v>
      </c>
      <c r="E63" s="655"/>
      <c r="F63" s="656"/>
      <c r="G63" s="656"/>
      <c r="H63" s="656"/>
      <c r="I63" s="273"/>
      <c r="J63" s="374">
        <f>SUM(J35,J40,J57,J61)</f>
        <v>0</v>
      </c>
      <c r="K63" s="374"/>
      <c r="L63" s="491"/>
      <c r="M63" s="7"/>
      <c r="O63" s="1"/>
      <c r="P63" s="1"/>
      <c r="Q63" s="16"/>
    </row>
    <row r="64" spans="1:18" ht="15" x14ac:dyDescent="0.2">
      <c r="A64" s="1"/>
      <c r="B64" s="50"/>
      <c r="C64" s="275"/>
      <c r="D64" s="275"/>
      <c r="E64" s="275"/>
      <c r="F64" s="338"/>
      <c r="G64" s="275"/>
      <c r="H64" s="275"/>
      <c r="I64" s="275"/>
      <c r="J64" s="275"/>
      <c r="K64" s="275"/>
      <c r="L64" s="492"/>
      <c r="M64" s="33"/>
      <c r="O64" s="1"/>
      <c r="P64" s="1"/>
      <c r="Q64" s="16"/>
    </row>
    <row r="65" spans="1:17" ht="15" x14ac:dyDescent="0.25">
      <c r="A65" s="1"/>
      <c r="B65" s="1"/>
      <c r="C65" s="1"/>
      <c r="D65" s="1"/>
      <c r="E65" s="1"/>
      <c r="F65" s="1"/>
      <c r="G65" s="1"/>
      <c r="H65" s="1"/>
      <c r="I65" s="1"/>
      <c r="J65" s="1"/>
      <c r="K65" s="1"/>
      <c r="L65" s="457"/>
      <c r="M65" s="1"/>
      <c r="O65" s="1"/>
      <c r="P65" s="1"/>
      <c r="Q65" s="16"/>
    </row>
    <row r="66" spans="1:17" ht="12.75" hidden="1" customHeight="1" x14ac:dyDescent="0.25"/>
    <row r="67" spans="1:17" ht="12.75" hidden="1" customHeight="1" x14ac:dyDescent="0.25"/>
    <row r="68" spans="1:17" ht="12.75" hidden="1" customHeight="1" x14ac:dyDescent="0.25"/>
    <row r="69" spans="1:17" ht="12.75" hidden="1" customHeight="1" x14ac:dyDescent="0.25"/>
    <row r="70" spans="1:17" ht="12.75" hidden="1" customHeight="1" x14ac:dyDescent="0.25"/>
    <row r="71" spans="1:17" ht="12.75" hidden="1" customHeight="1" x14ac:dyDescent="0.25"/>
    <row r="72" spans="1:17" ht="12.75" hidden="1" customHeight="1" x14ac:dyDescent="0.25"/>
    <row r="73" spans="1:17" ht="12.75" hidden="1" customHeight="1" x14ac:dyDescent="0.25"/>
    <row r="74" spans="1:17" ht="12.75" hidden="1" customHeight="1" x14ac:dyDescent="0.25"/>
    <row r="75" spans="1:17" ht="12.75" hidden="1" customHeight="1" x14ac:dyDescent="0.25"/>
    <row r="76" spans="1:17" ht="12.75" hidden="1" customHeight="1" x14ac:dyDescent="0.25"/>
    <row r="77" spans="1:17" ht="12.75" hidden="1" customHeight="1" x14ac:dyDescent="0.25"/>
    <row r="78" spans="1:17" ht="12.75" hidden="1" customHeight="1" x14ac:dyDescent="0.25"/>
    <row r="79" spans="1:17" ht="12.75" hidden="1" customHeight="1" x14ac:dyDescent="0.25"/>
    <row r="80" spans="1:17" ht="12.75" hidden="1" customHeight="1" x14ac:dyDescent="0.25"/>
    <row r="81" ht="12.75" hidden="1" customHeight="1" x14ac:dyDescent="0.25"/>
    <row r="82" ht="12.75" hidden="1" customHeight="1" x14ac:dyDescent="0.25"/>
    <row r="83" ht="12.75" hidden="1" customHeight="1" x14ac:dyDescent="0.25"/>
    <row r="84" ht="12.75" hidden="1" customHeight="1" x14ac:dyDescent="0.25"/>
    <row r="85" ht="12.75" hidden="1" customHeight="1" x14ac:dyDescent="0.25"/>
    <row r="86" ht="12.75" hidden="1" customHeight="1" x14ac:dyDescent="0.25"/>
    <row r="87" ht="12.75" hidden="1" customHeight="1" x14ac:dyDescent="0.25"/>
    <row r="88" ht="12.75" hidden="1" customHeight="1" x14ac:dyDescent="0.25"/>
    <row r="89" ht="12.75" hidden="1" customHeight="1" x14ac:dyDescent="0.25"/>
    <row r="90" ht="12.75" hidden="1" customHeight="1" x14ac:dyDescent="0.25"/>
    <row r="91" ht="12.75" hidden="1" customHeight="1" x14ac:dyDescent="0.25"/>
    <row r="92" ht="12.75" hidden="1" customHeight="1" x14ac:dyDescent="0.25"/>
    <row r="93" ht="12.75" hidden="1" customHeight="1" x14ac:dyDescent="0.25"/>
    <row r="94" ht="12.75" hidden="1" customHeight="1" x14ac:dyDescent="0.25"/>
    <row r="95" ht="12.75" hidden="1" customHeight="1" x14ac:dyDescent="0.25"/>
    <row r="96" ht="12.75" hidden="1" customHeight="1" x14ac:dyDescent="0.25"/>
    <row r="97" ht="15" x14ac:dyDescent="0.25"/>
    <row r="98" ht="15" x14ac:dyDescent="0.25"/>
    <row r="99" ht="15" x14ac:dyDescent="0.25"/>
    <row r="100" ht="15" x14ac:dyDescent="0.25"/>
    <row r="101" ht="15" x14ac:dyDescent="0.25"/>
    <row r="102" ht="12.75" hidden="1" customHeight="1" x14ac:dyDescent="0.25"/>
    <row r="103" ht="15" x14ac:dyDescent="0.25"/>
    <row r="104" ht="15" x14ac:dyDescent="0.25"/>
  </sheetData>
  <mergeCells count="88">
    <mergeCell ref="C3:L3"/>
    <mergeCell ref="C8:D17"/>
    <mergeCell ref="G8:H8"/>
    <mergeCell ref="G9:H9"/>
    <mergeCell ref="G10:H10"/>
    <mergeCell ref="G11:H11"/>
    <mergeCell ref="G12:H12"/>
    <mergeCell ref="G13:H13"/>
    <mergeCell ref="G14:H14"/>
    <mergeCell ref="G15:H15"/>
    <mergeCell ref="G16:H16"/>
    <mergeCell ref="G17:H17"/>
    <mergeCell ref="M22:M23"/>
    <mergeCell ref="N22:N23"/>
    <mergeCell ref="F18:G18"/>
    <mergeCell ref="C20:C34"/>
    <mergeCell ref="D22:D23"/>
    <mergeCell ref="E22:E23"/>
    <mergeCell ref="F22:F23"/>
    <mergeCell ref="G22:G23"/>
    <mergeCell ref="J24:J25"/>
    <mergeCell ref="L24:L25"/>
    <mergeCell ref="I22:I23"/>
    <mergeCell ref="J22:J23"/>
    <mergeCell ref="L22:L23"/>
    <mergeCell ref="E24:E25"/>
    <mergeCell ref="F24:F25"/>
    <mergeCell ref="G24:G25"/>
    <mergeCell ref="H24:H25"/>
    <mergeCell ref="I24:I25"/>
    <mergeCell ref="O22:O23"/>
    <mergeCell ref="Q24:Q25"/>
    <mergeCell ref="D26:D27"/>
    <mergeCell ref="E26:E27"/>
    <mergeCell ref="F26:F27"/>
    <mergeCell ref="G26:G27"/>
    <mergeCell ref="H26:H27"/>
    <mergeCell ref="O26:O27"/>
    <mergeCell ref="M24:M25"/>
    <mergeCell ref="N24:N25"/>
    <mergeCell ref="O24:O25"/>
    <mergeCell ref="P24:P25"/>
    <mergeCell ref="H22:H23"/>
    <mergeCell ref="P22:P23"/>
    <mergeCell ref="Q22:Q23"/>
    <mergeCell ref="D24:D25"/>
    <mergeCell ref="O35:Q35"/>
    <mergeCell ref="P26:P27"/>
    <mergeCell ref="Q26:Q27"/>
    <mergeCell ref="D31:D32"/>
    <mergeCell ref="E31:E32"/>
    <mergeCell ref="F31:F32"/>
    <mergeCell ref="G31:G32"/>
    <mergeCell ref="H31:H32"/>
    <mergeCell ref="I31:I32"/>
    <mergeCell ref="J31:J32"/>
    <mergeCell ref="L31:L32"/>
    <mergeCell ref="I26:I27"/>
    <mergeCell ref="J26:J27"/>
    <mergeCell ref="L26:L27"/>
    <mergeCell ref="M26:M27"/>
    <mergeCell ref="N26:N27"/>
    <mergeCell ref="M31:M32"/>
    <mergeCell ref="N31:N32"/>
    <mergeCell ref="O31:O32"/>
    <mergeCell ref="P31:P32"/>
    <mergeCell ref="Q31:Q32"/>
    <mergeCell ref="Q49:Q50"/>
    <mergeCell ref="C36:C39"/>
    <mergeCell ref="O40:Q40"/>
    <mergeCell ref="C41:C56"/>
    <mergeCell ref="D49:D50"/>
    <mergeCell ref="E49:E50"/>
    <mergeCell ref="F49:F50"/>
    <mergeCell ref="G49:G50"/>
    <mergeCell ref="H49:H50"/>
    <mergeCell ref="I49:I50"/>
    <mergeCell ref="J49:J50"/>
    <mergeCell ref="L49:L50"/>
    <mergeCell ref="M49:M50"/>
    <mergeCell ref="N49:N50"/>
    <mergeCell ref="O49:O50"/>
    <mergeCell ref="P49:P50"/>
    <mergeCell ref="O57:Q57"/>
    <mergeCell ref="C58:C60"/>
    <mergeCell ref="H58:H60"/>
    <mergeCell ref="O61:Q61"/>
    <mergeCell ref="D63:H63"/>
  </mergeCells>
  <conditionalFormatting sqref="F20:F34">
    <cfRule type="expression" dxfId="41" priority="14" stopIfTrue="1">
      <formula>$E20="N"</formula>
    </cfRule>
    <cfRule type="expression" dxfId="40" priority="15" stopIfTrue="1">
      <formula>$E20="Y"</formula>
    </cfRule>
  </conditionalFormatting>
  <conditionalFormatting sqref="F36:F39">
    <cfRule type="expression" dxfId="39" priority="10" stopIfTrue="1">
      <formula>$E36="N"</formula>
    </cfRule>
    <cfRule type="expression" dxfId="38" priority="11" stopIfTrue="1">
      <formula>$E36="Y"</formula>
    </cfRule>
  </conditionalFormatting>
  <conditionalFormatting sqref="F41:F56">
    <cfRule type="expression" dxfId="37" priority="2" stopIfTrue="1">
      <formula>$E41="N"</formula>
    </cfRule>
    <cfRule type="expression" dxfId="36" priority="3" stopIfTrue="1">
      <formula>$E41="Y"</formula>
    </cfRule>
  </conditionalFormatting>
  <conditionalFormatting sqref="J20:J34">
    <cfRule type="expression" dxfId="35" priority="13" stopIfTrue="1">
      <formula>$O20=1</formula>
    </cfRule>
  </conditionalFormatting>
  <conditionalFormatting sqref="J36:J39">
    <cfRule type="expression" dxfId="34" priority="9" stopIfTrue="1">
      <formula>$O36=1</formula>
    </cfRule>
  </conditionalFormatting>
  <conditionalFormatting sqref="J41:J56">
    <cfRule type="expression" dxfId="33" priority="1" stopIfTrue="1">
      <formula>$O41=1</formula>
    </cfRule>
  </conditionalFormatting>
  <conditionalFormatting sqref="K20:K34">
    <cfRule type="expression" dxfId="32" priority="16" stopIfTrue="1">
      <formula>$O20=1</formula>
    </cfRule>
  </conditionalFormatting>
  <conditionalFormatting sqref="K36:K39">
    <cfRule type="expression" dxfId="31" priority="12" stopIfTrue="1">
      <formula>$O36=1</formula>
    </cfRule>
  </conditionalFormatting>
  <conditionalFormatting sqref="K41:K56">
    <cfRule type="expression" dxfId="30" priority="4" stopIfTrue="1">
      <formula>$O41=1</formula>
    </cfRule>
  </conditionalFormatting>
  <dataValidations count="5">
    <dataValidation type="list" allowBlank="1" showInputMessage="1" showErrorMessage="1" sqref="K22" xr:uid="{2497E54C-3A3A-4760-824B-939323D9EA49}">
      <formula1>Select_Push_Distance_Sand</formula1>
    </dataValidation>
    <dataValidation type="list" allowBlank="1" showInputMessage="1" showErrorMessage="1" sqref="K24" xr:uid="{9DFA2ECC-873D-444C-AA1F-774BE991811B}">
      <formula1>Select_Push_Distance_Clay</formula1>
    </dataValidation>
    <dataValidation type="list" allowBlank="1" showInputMessage="1" showErrorMessage="1" sqref="K26" xr:uid="{4C1EB474-EA2E-4414-A248-639677B1E19A}">
      <formula1>Select_Push_Distance_Stiff_Clay</formula1>
    </dataValidation>
    <dataValidation type="list" allowBlank="1" showInputMessage="1" showErrorMessage="1" sqref="K49 K31" xr:uid="{AD3D128F-5FDC-49A5-B1E1-31DFF95DEF09}">
      <formula1>Select_Haul_Distance</formula1>
    </dataValidation>
    <dataValidation type="list" allowBlank="1" showInputMessage="1" showErrorMessage="1" sqref="E36:E39 E20:E34 E41:E56" xr:uid="{5BFD4F90-8BBA-4BD1-8A4D-49CF386CD2D1}">
      <formula1>Y_N</formula1>
    </dataValidation>
  </dataValidations>
  <printOptions horizontalCentered="1"/>
  <pageMargins left="0.59055118110236227" right="0.59055118110236227" top="0.59055118110236227" bottom="0.59055118110236227" header="0.51181102362204722" footer="0.51181102362204722"/>
  <pageSetup paperSize="8" orientation="landscape" r:id="rId1"/>
  <headerFooter alignWithMargins="0">
    <oddFooter>&amp;C_x000D_&amp;1#&amp;"Calibri"&amp;12&amp;K000000 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0533-A72B-443F-AE86-05F9F059791C}">
  <sheetPr codeName="Sheet25"/>
  <dimension ref="A1:AO104"/>
  <sheetViews>
    <sheetView topLeftCell="A3" workbookViewId="0">
      <selection activeCell="C41" sqref="C41:M71"/>
    </sheetView>
  </sheetViews>
  <sheetFormatPr defaultColWidth="0" defaultRowHeight="0" customHeight="1" zeroHeight="1" x14ac:dyDescent="0.25"/>
  <cols>
    <col min="1" max="2" width="2.42578125" style="2" customWidth="1"/>
    <col min="3" max="3" width="25.85546875" style="2" customWidth="1"/>
    <col min="4" max="4" width="33.7109375" style="2" customWidth="1"/>
    <col min="5" max="5" width="9" style="2" customWidth="1"/>
    <col min="6" max="6" width="7.42578125" style="2" customWidth="1"/>
    <col min="7" max="7" width="4" style="2" customWidth="1"/>
    <col min="8" max="9" width="11.140625" style="2" customWidth="1"/>
    <col min="10" max="10" width="15.7109375" style="2" customWidth="1"/>
    <col min="11" max="11" width="28.7109375" style="2" customWidth="1"/>
    <col min="12" max="12" width="40.140625" customWidth="1"/>
    <col min="13" max="13" width="2.140625" style="2" customWidth="1"/>
    <col min="14" max="14" width="2.42578125" style="1" customWidth="1"/>
    <col min="15" max="16" width="4.5703125" style="2" hidden="1" customWidth="1"/>
    <col min="17" max="17" width="4.5703125" style="375" hidden="1" customWidth="1"/>
    <col min="18" max="18" width="2.42578125" style="1" hidden="1" customWidth="1"/>
    <col min="19" max="16384" width="8.85546875" style="2" hidden="1"/>
  </cols>
  <sheetData>
    <row r="1" spans="1:18" ht="15" x14ac:dyDescent="0.25">
      <c r="A1" s="1"/>
      <c r="B1" s="1"/>
      <c r="C1" s="1"/>
      <c r="D1" s="1"/>
      <c r="E1" s="1"/>
      <c r="F1" s="1"/>
      <c r="G1" s="1"/>
      <c r="H1" s="1"/>
      <c r="I1" s="1"/>
      <c r="J1" s="1"/>
      <c r="K1" s="1"/>
      <c r="L1" s="457"/>
      <c r="M1" s="1"/>
      <c r="O1" s="1"/>
      <c r="P1" s="1"/>
      <c r="Q1" s="16"/>
    </row>
    <row r="2" spans="1:18" ht="15" x14ac:dyDescent="0.25">
      <c r="A2" s="1"/>
      <c r="B2" s="3"/>
      <c r="C2" s="4"/>
      <c r="D2" s="4"/>
      <c r="E2" s="4"/>
      <c r="F2" s="4"/>
      <c r="G2" s="4"/>
      <c r="H2" s="4"/>
      <c r="I2" s="4"/>
      <c r="J2" s="4"/>
      <c r="K2" s="4"/>
      <c r="L2" s="458"/>
      <c r="M2" s="5"/>
      <c r="O2" s="1"/>
      <c r="P2" s="1"/>
      <c r="Q2" s="16"/>
    </row>
    <row r="3" spans="1:18" ht="23.25" thickBot="1" x14ac:dyDescent="0.25">
      <c r="A3" s="1"/>
      <c r="B3" s="6"/>
      <c r="C3" s="639" t="s">
        <v>540</v>
      </c>
      <c r="D3" s="639"/>
      <c r="E3" s="639"/>
      <c r="F3" s="639"/>
      <c r="G3" s="639"/>
      <c r="H3" s="639"/>
      <c r="I3" s="639"/>
      <c r="J3" s="639"/>
      <c r="K3" s="639"/>
      <c r="L3" s="639"/>
      <c r="M3" s="7"/>
      <c r="O3" s="1"/>
      <c r="P3" s="1"/>
      <c r="Q3" s="16"/>
    </row>
    <row r="4" spans="1:18" ht="22.5" x14ac:dyDescent="0.2">
      <c r="A4" s="1"/>
      <c r="B4" s="6"/>
      <c r="C4" s="89" t="s">
        <v>678</v>
      </c>
      <c r="D4" s="90"/>
      <c r="E4" s="90"/>
      <c r="F4" s="91"/>
      <c r="G4" s="91"/>
      <c r="H4" s="92"/>
      <c r="I4" s="92"/>
      <c r="J4" s="92"/>
      <c r="K4" s="93" t="s">
        <v>542</v>
      </c>
      <c r="L4" s="463">
        <f>Total_Liability</f>
        <v>3235.6385328442129</v>
      </c>
      <c r="M4" s="7"/>
      <c r="O4" s="1"/>
      <c r="P4" s="1"/>
      <c r="Q4" s="1"/>
    </row>
    <row r="5" spans="1:18" s="74" customFormat="1" ht="12.75" customHeight="1" x14ac:dyDescent="0.2">
      <c r="A5" s="102"/>
      <c r="B5" s="218"/>
      <c r="C5" s="96"/>
      <c r="D5" s="97"/>
      <c r="E5" s="97"/>
      <c r="F5" s="98"/>
      <c r="G5" s="98"/>
      <c r="H5" s="99"/>
      <c r="I5" s="99"/>
      <c r="J5" s="99"/>
      <c r="K5" s="100" t="s">
        <v>543</v>
      </c>
      <c r="L5" s="464">
        <f>J63</f>
        <v>0</v>
      </c>
      <c r="M5" s="162"/>
      <c r="N5" s="102"/>
      <c r="O5" s="102"/>
      <c r="P5" s="102"/>
      <c r="Q5" s="102"/>
      <c r="R5" s="102"/>
    </row>
    <row r="6" spans="1:18" ht="12.75" customHeight="1" x14ac:dyDescent="0.25">
      <c r="A6" s="1"/>
      <c r="B6" s="6"/>
      <c r="C6" s="105"/>
      <c r="D6" s="106"/>
      <c r="E6" s="106"/>
      <c r="G6" s="107"/>
      <c r="H6" s="107"/>
      <c r="J6" s="108"/>
      <c r="K6" s="1"/>
      <c r="L6" s="457"/>
      <c r="M6" s="7"/>
      <c r="O6" s="1"/>
      <c r="P6" s="1"/>
      <c r="Q6" s="1"/>
    </row>
    <row r="7" spans="1:18" ht="12.75" customHeight="1" thickBot="1" x14ac:dyDescent="0.25">
      <c r="A7" s="1"/>
      <c r="B7" s="6"/>
      <c r="C7" s="112" t="s">
        <v>544</v>
      </c>
      <c r="D7" s="97"/>
      <c r="E7" s="97"/>
      <c r="F7" s="112" t="s">
        <v>661</v>
      </c>
      <c r="G7" s="98"/>
      <c r="H7" s="107"/>
      <c r="I7" s="1"/>
      <c r="J7" s="1"/>
      <c r="K7" s="1"/>
      <c r="L7" s="465" t="s">
        <v>545</v>
      </c>
      <c r="M7" s="7"/>
      <c r="O7" s="1"/>
      <c r="P7" s="1"/>
      <c r="Q7" s="1"/>
    </row>
    <row r="8" spans="1:18" ht="12.75" customHeight="1" x14ac:dyDescent="0.2">
      <c r="A8" s="1"/>
      <c r="B8" s="6"/>
      <c r="C8" s="679"/>
      <c r="D8" s="680"/>
      <c r="E8" s="114"/>
      <c r="F8" s="342" t="s">
        <v>662</v>
      </c>
      <c r="G8" s="718" t="s">
        <v>663</v>
      </c>
      <c r="H8" s="719"/>
      <c r="I8" s="344" t="s">
        <v>664</v>
      </c>
      <c r="J8" s="343" t="s">
        <v>665</v>
      </c>
      <c r="K8" s="345" t="s">
        <v>666</v>
      </c>
      <c r="L8" s="466" t="s">
        <v>546</v>
      </c>
      <c r="M8" s="7"/>
      <c r="O8" s="1"/>
      <c r="P8" s="1"/>
      <c r="Q8" s="1"/>
    </row>
    <row r="9" spans="1:18" ht="12.75" customHeight="1" x14ac:dyDescent="0.2">
      <c r="A9" s="1"/>
      <c r="B9" s="6"/>
      <c r="C9" s="681"/>
      <c r="D9" s="682"/>
      <c r="E9" s="114"/>
      <c r="F9" s="346"/>
      <c r="G9" s="720"/>
      <c r="H9" s="721"/>
      <c r="I9" s="347"/>
      <c r="J9" s="347"/>
      <c r="K9" s="348"/>
      <c r="L9" s="467" t="s">
        <v>547</v>
      </c>
      <c r="M9" s="7"/>
      <c r="O9" s="1"/>
      <c r="P9" s="1"/>
      <c r="Q9" s="1"/>
    </row>
    <row r="10" spans="1:18" ht="12.75" customHeight="1" x14ac:dyDescent="0.2">
      <c r="A10" s="1"/>
      <c r="B10" s="6"/>
      <c r="C10" s="681"/>
      <c r="D10" s="682"/>
      <c r="E10" s="114"/>
      <c r="F10" s="346"/>
      <c r="G10" s="722"/>
      <c r="H10" s="723"/>
      <c r="I10" s="347"/>
      <c r="J10" s="347"/>
      <c r="K10" s="348"/>
      <c r="L10" s="468" t="s">
        <v>548</v>
      </c>
      <c r="M10" s="7"/>
      <c r="O10" s="1"/>
      <c r="P10" s="1"/>
      <c r="Q10" s="1"/>
    </row>
    <row r="11" spans="1:18" ht="12.75" customHeight="1" x14ac:dyDescent="0.2">
      <c r="A11" s="1"/>
      <c r="B11" s="6"/>
      <c r="C11" s="681"/>
      <c r="D11" s="682"/>
      <c r="E11" s="114"/>
      <c r="F11" s="346"/>
      <c r="G11" s="722"/>
      <c r="H11" s="723"/>
      <c r="I11" s="347"/>
      <c r="J11" s="347"/>
      <c r="K11" s="348"/>
      <c r="L11" s="469" t="s">
        <v>549</v>
      </c>
      <c r="M11" s="7"/>
      <c r="O11" s="1"/>
      <c r="P11" s="1"/>
      <c r="Q11" s="1"/>
    </row>
    <row r="12" spans="1:18" ht="12.75" customHeight="1" x14ac:dyDescent="0.2">
      <c r="A12" s="1"/>
      <c r="B12" s="6"/>
      <c r="C12" s="681"/>
      <c r="D12" s="682"/>
      <c r="E12" s="97"/>
      <c r="F12" s="346"/>
      <c r="G12" s="722"/>
      <c r="H12" s="723"/>
      <c r="I12" s="347"/>
      <c r="J12" s="347"/>
      <c r="K12" s="348"/>
      <c r="L12" s="488"/>
      <c r="M12" s="7"/>
      <c r="O12" s="1"/>
      <c r="P12" s="1"/>
      <c r="Q12" s="1"/>
    </row>
    <row r="13" spans="1:18" ht="12.75" customHeight="1" x14ac:dyDescent="0.2">
      <c r="A13" s="107"/>
      <c r="B13" s="117"/>
      <c r="C13" s="681"/>
      <c r="D13" s="682"/>
      <c r="E13" s="1"/>
      <c r="F13" s="346"/>
      <c r="G13" s="721"/>
      <c r="H13" s="721"/>
      <c r="I13" s="347"/>
      <c r="J13" s="347"/>
      <c r="K13" s="348"/>
      <c r="L13" s="470"/>
      <c r="M13" s="120"/>
      <c r="N13" s="102"/>
      <c r="O13" s="107"/>
      <c r="P13" s="349"/>
      <c r="Q13" s="107"/>
    </row>
    <row r="14" spans="1:18" ht="12.75" customHeight="1" x14ac:dyDescent="0.2">
      <c r="A14" s="107"/>
      <c r="B14" s="117"/>
      <c r="C14" s="681"/>
      <c r="D14" s="682"/>
      <c r="E14" s="1"/>
      <c r="F14" s="346"/>
      <c r="G14" s="721"/>
      <c r="H14" s="721"/>
      <c r="I14" s="347"/>
      <c r="J14" s="347"/>
      <c r="K14" s="348"/>
      <c r="L14" s="470"/>
      <c r="M14" s="120"/>
      <c r="N14" s="102"/>
      <c r="O14" s="107"/>
      <c r="P14" s="349"/>
      <c r="Q14" s="107"/>
    </row>
    <row r="15" spans="1:18" ht="12.75" customHeight="1" x14ac:dyDescent="0.2">
      <c r="A15" s="107"/>
      <c r="B15" s="117"/>
      <c r="C15" s="681"/>
      <c r="D15" s="682"/>
      <c r="E15" s="1"/>
      <c r="F15" s="346"/>
      <c r="G15" s="721"/>
      <c r="H15" s="721"/>
      <c r="I15" s="347"/>
      <c r="J15" s="347"/>
      <c r="K15" s="348"/>
      <c r="L15" s="470"/>
      <c r="M15" s="120"/>
      <c r="N15" s="102"/>
      <c r="O15" s="107"/>
      <c r="P15" s="349"/>
      <c r="Q15" s="107"/>
    </row>
    <row r="16" spans="1:18" ht="12.75" customHeight="1" x14ac:dyDescent="0.2">
      <c r="A16" s="107"/>
      <c r="B16" s="117"/>
      <c r="C16" s="681"/>
      <c r="D16" s="682"/>
      <c r="E16" s="1"/>
      <c r="F16" s="346"/>
      <c r="G16" s="721"/>
      <c r="H16" s="721"/>
      <c r="I16" s="347"/>
      <c r="J16" s="347"/>
      <c r="K16" s="348"/>
      <c r="L16" s="470"/>
      <c r="M16" s="120"/>
      <c r="N16" s="102"/>
      <c r="O16" s="107"/>
      <c r="P16" s="349"/>
      <c r="Q16" s="107"/>
    </row>
    <row r="17" spans="1:17" ht="12.75" customHeight="1" thickBot="1" x14ac:dyDescent="0.25">
      <c r="A17" s="107"/>
      <c r="B17" s="117"/>
      <c r="C17" s="683"/>
      <c r="D17" s="684"/>
      <c r="E17" s="1"/>
      <c r="F17" s="350"/>
      <c r="G17" s="724"/>
      <c r="H17" s="724"/>
      <c r="I17" s="351"/>
      <c r="J17" s="351"/>
      <c r="K17" s="352"/>
      <c r="L17" s="470"/>
      <c r="M17" s="120"/>
      <c r="N17" s="102"/>
      <c r="O17" s="107"/>
      <c r="P17" s="349"/>
      <c r="Q17" s="107"/>
    </row>
    <row r="18" spans="1:17" ht="12.75" customHeight="1" thickBot="1" x14ac:dyDescent="0.25">
      <c r="A18" s="1"/>
      <c r="B18" s="6"/>
      <c r="C18" s="272"/>
      <c r="D18" s="353"/>
      <c r="E18" s="354"/>
      <c r="F18" s="716"/>
      <c r="G18" s="716"/>
      <c r="H18" s="98"/>
      <c r="I18" s="98"/>
      <c r="J18" s="115"/>
      <c r="K18" s="99"/>
      <c r="L18" s="488"/>
      <c r="M18" s="7"/>
      <c r="O18" s="1"/>
      <c r="P18" s="1"/>
      <c r="Q18" s="16"/>
    </row>
    <row r="19" spans="1:17" ht="23.25" thickBot="1" x14ac:dyDescent="0.25">
      <c r="A19" s="1"/>
      <c r="B19" s="6"/>
      <c r="C19" s="255" t="s">
        <v>550</v>
      </c>
      <c r="D19" s="255" t="s">
        <v>551</v>
      </c>
      <c r="E19" s="256" t="s">
        <v>552</v>
      </c>
      <c r="F19" s="255" t="s">
        <v>553</v>
      </c>
      <c r="G19" s="255" t="s">
        <v>32</v>
      </c>
      <c r="H19" s="257" t="s">
        <v>554</v>
      </c>
      <c r="I19" s="257" t="s">
        <v>555</v>
      </c>
      <c r="J19" s="129" t="s">
        <v>556</v>
      </c>
      <c r="K19" s="129" t="s">
        <v>557</v>
      </c>
      <c r="L19" s="498" t="s">
        <v>558</v>
      </c>
      <c r="M19" s="7"/>
      <c r="O19" s="129" t="s">
        <v>559</v>
      </c>
      <c r="P19" s="129" t="s">
        <v>560</v>
      </c>
      <c r="Q19" s="129" t="s">
        <v>561</v>
      </c>
    </row>
    <row r="20" spans="1:17" ht="33.75" x14ac:dyDescent="0.2">
      <c r="A20" s="1"/>
      <c r="B20" s="6"/>
      <c r="C20" s="613" t="s">
        <v>667</v>
      </c>
      <c r="D20" s="225" t="str">
        <f>VLOOKUP($P20,TOV!$A$4:$E$65536,2,FALSE)</f>
        <v>Drill and blast a vertical face to achieve a minimum batter angle of 33 degrees, where blasts &lt; 3000 t, face height is typically &lt; 10m.</v>
      </c>
      <c r="E20" s="210" t="s">
        <v>515</v>
      </c>
      <c r="F20" s="226"/>
      <c r="G20" s="133" t="s">
        <v>82</v>
      </c>
      <c r="H20" s="212">
        <f>VLOOKUP($P20,TOV!$A$4:$E$65536,4,FALSE)</f>
        <v>4.0877256193088307</v>
      </c>
      <c r="I20" s="135"/>
      <c r="J20" s="228">
        <f>IF($E20="Y",IF(I20=0,F20*H20,F20*I20),"")</f>
        <v>0</v>
      </c>
      <c r="K20" s="229"/>
      <c r="L20" s="478" t="s">
        <v>668</v>
      </c>
      <c r="M20" s="7"/>
      <c r="O20" s="138">
        <f t="shared" ref="O20:O60" si="0">IF(I20="",0,1)</f>
        <v>0</v>
      </c>
      <c r="P20" s="139" t="s">
        <v>452</v>
      </c>
      <c r="Q20" s="140"/>
    </row>
    <row r="21" spans="1:17" ht="33.75" x14ac:dyDescent="0.2">
      <c r="A21" s="1"/>
      <c r="B21" s="6"/>
      <c r="C21" s="614"/>
      <c r="D21" s="180" t="str">
        <f>VLOOKUP($P21,TOV!$A$4:$E$65536,2,FALSE)</f>
        <v>Drill and blast a vertical face to achieve a minimum batter angle of 33 degrees, where blasts &gt; 3000 t, face height is typically &gt; 10m.</v>
      </c>
      <c r="E21" s="148" t="s">
        <v>515</v>
      </c>
      <c r="F21" s="181"/>
      <c r="G21" s="189" t="s">
        <v>82</v>
      </c>
      <c r="H21" s="156">
        <f>VLOOKUP($P21,TOV!$A$4:$E$65536,4,FALSE)</f>
        <v>2.8614079335161815</v>
      </c>
      <c r="I21" s="163"/>
      <c r="J21" s="136">
        <f>IF($E21="Y",IF(I21=0,F21*H21,F21*I21),"")</f>
        <v>0</v>
      </c>
      <c r="K21" s="137"/>
      <c r="L21" s="474" t="s">
        <v>668</v>
      </c>
      <c r="M21" s="7"/>
      <c r="O21" s="151">
        <f>IF(I21="",0,1)</f>
        <v>0</v>
      </c>
      <c r="P21" s="152" t="s">
        <v>454</v>
      </c>
      <c r="Q21" s="153"/>
    </row>
    <row r="22" spans="1:17" ht="12.75" customHeight="1" x14ac:dyDescent="0.2">
      <c r="A22" s="1"/>
      <c r="B22" s="6"/>
      <c r="C22" s="717"/>
      <c r="D22" s="621" t="str">
        <f>VLOOKUP($P22,TOV!$A$4:$E$65536,2,FALSE)</f>
        <v>Major bulk pushing (Sand Batter) to achieve grades nominated in the approval/permit (i.e. &lt; 18o)</v>
      </c>
      <c r="E22" s="623" t="s">
        <v>515</v>
      </c>
      <c r="F22" s="625"/>
      <c r="G22" s="627" t="s">
        <v>82</v>
      </c>
      <c r="H22" s="629" t="str">
        <f>VLOOKUP($P22,TOV!$A$4:$E$65536,4,FALSE)</f>
        <v>Select from List</v>
      </c>
      <c r="I22" s="659"/>
      <c r="J22" s="633" t="str">
        <f>IF($E22="Y",IF(I22=0,IF(H22="Select From List","",F22*H22),F22*I22),"")</f>
        <v/>
      </c>
      <c r="K22" s="137" t="s">
        <v>529</v>
      </c>
      <c r="L22" s="635" t="s">
        <v>669</v>
      </c>
      <c r="M22" s="590"/>
      <c r="N22" s="591"/>
      <c r="O22" s="592">
        <f t="shared" si="0"/>
        <v>0</v>
      </c>
      <c r="P22" s="594" t="str">
        <f>IF(Q22=1,"X221",IF(Q22=2,"X222",IF(Q22=3,"X223")))</f>
        <v>X221</v>
      </c>
      <c r="Q22" s="574">
        <f>VLOOKUP(K22,Select_Push_Distance_Sand_Index,2,FALSE)</f>
        <v>1</v>
      </c>
    </row>
    <row r="23" spans="1:17" ht="28.5" customHeight="1" x14ac:dyDescent="0.2">
      <c r="A23" s="1"/>
      <c r="B23" s="6"/>
      <c r="C23" s="717"/>
      <c r="D23" s="621"/>
      <c r="E23" s="623"/>
      <c r="F23" s="625"/>
      <c r="G23" s="627"/>
      <c r="H23" s="629"/>
      <c r="I23" s="659"/>
      <c r="J23" s="633"/>
      <c r="K23" s="137"/>
      <c r="L23" s="635"/>
      <c r="M23" s="590"/>
      <c r="N23" s="591"/>
      <c r="O23" s="593"/>
      <c r="P23" s="595"/>
      <c r="Q23" s="575"/>
    </row>
    <row r="24" spans="1:17" ht="12.75" customHeight="1" x14ac:dyDescent="0.2">
      <c r="A24" s="1"/>
      <c r="B24" s="6"/>
      <c r="C24" s="717"/>
      <c r="D24" s="597" t="str">
        <f>VLOOKUP($P24,TOV!$A$4:$E$65536,2,FALSE)</f>
        <v>Major bulk pushing (Clay Batter) to achieve grades nominated in the approval/permit (i.e. &lt; 18o)</v>
      </c>
      <c r="E24" s="623" t="s">
        <v>515</v>
      </c>
      <c r="F24" s="625"/>
      <c r="G24" s="627" t="s">
        <v>82</v>
      </c>
      <c r="H24" s="629" t="str">
        <f>VLOOKUP($P24,TOV!$A$4:$E$65536,4,FALSE)</f>
        <v>Select from List</v>
      </c>
      <c r="I24" s="659"/>
      <c r="J24" s="633" t="str">
        <f>IF($E24="Y",IF(I24=0,IF(H24="Select From List","",F24*H24),F24*I24),"")</f>
        <v/>
      </c>
      <c r="K24" s="137" t="s">
        <v>533</v>
      </c>
      <c r="L24" s="635" t="s">
        <v>669</v>
      </c>
      <c r="M24" s="590"/>
      <c r="N24" s="591"/>
      <c r="O24" s="592">
        <f>IF(I24="",0,1)</f>
        <v>0</v>
      </c>
      <c r="P24" s="594" t="str">
        <f>IF(Q24=1,"X224",IF(Q24=2,"X225",IF(Q24=3,"X226")))</f>
        <v>X224</v>
      </c>
      <c r="Q24" s="574">
        <f>VLOOKUP(K24,Select_Push_Distance_Clay_Index,2,FALSE)</f>
        <v>1</v>
      </c>
    </row>
    <row r="25" spans="1:17" ht="28.5" customHeight="1" x14ac:dyDescent="0.2">
      <c r="A25" s="1"/>
      <c r="B25" s="6"/>
      <c r="C25" s="717"/>
      <c r="D25" s="598"/>
      <c r="E25" s="623"/>
      <c r="F25" s="625"/>
      <c r="G25" s="627"/>
      <c r="H25" s="629"/>
      <c r="I25" s="659"/>
      <c r="J25" s="633"/>
      <c r="K25" s="137"/>
      <c r="L25" s="635"/>
      <c r="M25" s="590"/>
      <c r="N25" s="591"/>
      <c r="O25" s="593"/>
      <c r="P25" s="595"/>
      <c r="Q25" s="575"/>
    </row>
    <row r="26" spans="1:17" ht="12.75" customHeight="1" x14ac:dyDescent="0.2">
      <c r="A26" s="1"/>
      <c r="B26" s="6"/>
      <c r="C26" s="717"/>
      <c r="D26" s="621" t="str">
        <f>VLOOKUP($P26,TOV!$A$4:$E$65536,2,FALSE)</f>
        <v>Major bulk pushing (Stiff Clay or Soft Rock with ripping) to achieve grades nominated in the approval/permit (i.e. &lt; 18o)</v>
      </c>
      <c r="E26" s="623" t="s">
        <v>515</v>
      </c>
      <c r="F26" s="625"/>
      <c r="G26" s="627" t="s">
        <v>82</v>
      </c>
      <c r="H26" s="629" t="str">
        <f>VLOOKUP($P26,TOV!$A$4:$E$65536,4,FALSE)</f>
        <v>Select from List</v>
      </c>
      <c r="I26" s="659"/>
      <c r="J26" s="633" t="str">
        <f>IF($E26="Y",IF(I26=0,IF(H26="Select From List","",F26*H26),F26*I26),"")</f>
        <v/>
      </c>
      <c r="K26" s="137" t="s">
        <v>534</v>
      </c>
      <c r="L26" s="635" t="s">
        <v>669</v>
      </c>
      <c r="M26" s="590"/>
      <c r="N26" s="591"/>
      <c r="O26" s="592">
        <f>IF(I26="",0,1)</f>
        <v>0</v>
      </c>
      <c r="P26" s="594" t="str">
        <f>IF(Q26=1,"X227",IF(Q26=2,"X228",IF(Q26=3,"X229")))</f>
        <v>X227</v>
      </c>
      <c r="Q26" s="574">
        <f>VLOOKUP(K26,Select_Push_Distance_Stiff_Clay_Index,2,FALSE)</f>
        <v>1</v>
      </c>
    </row>
    <row r="27" spans="1:17" ht="28.5" customHeight="1" x14ac:dyDescent="0.2">
      <c r="A27" s="1"/>
      <c r="B27" s="6"/>
      <c r="C27" s="717"/>
      <c r="D27" s="621"/>
      <c r="E27" s="623"/>
      <c r="F27" s="625"/>
      <c r="G27" s="627"/>
      <c r="H27" s="629"/>
      <c r="I27" s="659"/>
      <c r="J27" s="633"/>
      <c r="K27" s="137"/>
      <c r="L27" s="635"/>
      <c r="M27" s="590"/>
      <c r="N27" s="591"/>
      <c r="O27" s="593"/>
      <c r="P27" s="595"/>
      <c r="Q27" s="575"/>
    </row>
    <row r="28" spans="1:17" ht="28.5" customHeight="1" x14ac:dyDescent="0.2">
      <c r="A28" s="1"/>
      <c r="B28" s="6"/>
      <c r="C28" s="717"/>
      <c r="D28" s="130" t="str">
        <f>VLOOKUP($P28,TOV!$A$4:$E$65536,2,FALSE)</f>
        <v>Purchase of clean fill material where there is a shortage on site</v>
      </c>
      <c r="E28" s="148" t="s">
        <v>515</v>
      </c>
      <c r="F28" s="155"/>
      <c r="G28" s="355" t="s">
        <v>38</v>
      </c>
      <c r="H28" s="134">
        <f>VLOOKUP($P28,TOV!$A$4:$E$65536,4,FALSE)</f>
        <v>6.5283556799999998</v>
      </c>
      <c r="I28" s="356"/>
      <c r="J28" s="136">
        <f t="shared" ref="J28" si="1">IF($E28="Y",IF(I28=0,F28*H28,F28*I28),"")</f>
        <v>0</v>
      </c>
      <c r="K28" s="157"/>
      <c r="L28" s="474" t="s">
        <v>670</v>
      </c>
      <c r="M28" s="162"/>
      <c r="N28" s="158"/>
      <c r="O28" s="151">
        <f t="shared" ref="O28" si="2">IF(I28="",0,1)</f>
        <v>0</v>
      </c>
      <c r="P28" s="357" t="s">
        <v>671</v>
      </c>
      <c r="Q28" s="224"/>
    </row>
    <row r="29" spans="1:17" ht="33.75" x14ac:dyDescent="0.2">
      <c r="A29" s="1"/>
      <c r="B29" s="6"/>
      <c r="C29" s="717"/>
      <c r="D29" s="180" t="str">
        <f>VLOOKUP($P29,TOV!$A$4:$E$65536,2,FALSE)</f>
        <v>Construct safety berm, catch bench and barrier around the pit perimeter (required where final pit will include steep faces).</v>
      </c>
      <c r="E29" s="148" t="s">
        <v>515</v>
      </c>
      <c r="F29" s="181"/>
      <c r="G29" s="189" t="s">
        <v>101</v>
      </c>
      <c r="H29" s="156">
        <f>VLOOKUP($P29,TOV!$A$4:$E$65536,4,FALSE)</f>
        <v>58.761055777564444</v>
      </c>
      <c r="I29" s="163"/>
      <c r="J29" s="136">
        <f>IF($E29="Y",IF(I29=0,F29*H29,F29*I29),"")</f>
        <v>0</v>
      </c>
      <c r="K29" s="137"/>
      <c r="L29" s="474" t="s">
        <v>672</v>
      </c>
      <c r="M29" s="7"/>
      <c r="O29" s="151">
        <f t="shared" si="0"/>
        <v>0</v>
      </c>
      <c r="P29" s="152" t="s">
        <v>180</v>
      </c>
      <c r="Q29" s="153"/>
    </row>
    <row r="30" spans="1:17" ht="33.75" x14ac:dyDescent="0.2">
      <c r="A30" s="1"/>
      <c r="B30" s="6"/>
      <c r="C30" s="717"/>
      <c r="D30" s="180" t="str">
        <f>VLOOKUP($P30,TOV!$A$4:$E$65536,2,FALSE)</f>
        <v>Erect a 6' chain mesh security fence around the top face where the final pit will include steep faces</v>
      </c>
      <c r="E30" s="148" t="s">
        <v>515</v>
      </c>
      <c r="F30" s="181"/>
      <c r="G30" s="149" t="s">
        <v>101</v>
      </c>
      <c r="H30" s="156">
        <f>VLOOKUP($P30,TOV!$A$4:$E$65536,4,FALSE)</f>
        <v>51.096570241360382</v>
      </c>
      <c r="I30" s="163"/>
      <c r="J30" s="136">
        <f>IF($E30="Y",IF(I30=0,F30*H30,F30*I30),"")</f>
        <v>0</v>
      </c>
      <c r="K30" s="137"/>
      <c r="L30" s="474" t="s">
        <v>673</v>
      </c>
      <c r="M30" s="7"/>
      <c r="O30" s="151">
        <f t="shared" si="0"/>
        <v>0</v>
      </c>
      <c r="P30" s="152" t="s">
        <v>237</v>
      </c>
      <c r="Q30" s="153"/>
    </row>
    <row r="31" spans="1:17" ht="12.75" customHeight="1" x14ac:dyDescent="0.2">
      <c r="A31" s="1"/>
      <c r="B31" s="6"/>
      <c r="C31" s="717"/>
      <c r="D31" s="621" t="str">
        <f>VLOOKUP($P31,TOV!$A$4:$E$65536,2,FALSE)</f>
        <v>Backfilling faces and benches as specified in the work plan</v>
      </c>
      <c r="E31" s="623" t="s">
        <v>515</v>
      </c>
      <c r="F31" s="625"/>
      <c r="G31" s="627" t="s">
        <v>82</v>
      </c>
      <c r="H31" s="629" t="str">
        <f>VLOOKUP($P31,TOV!$A$4:$E$65536,4,FALSE)</f>
        <v>Select from List</v>
      </c>
      <c r="I31" s="659"/>
      <c r="J31" s="633" t="str">
        <f>IF($E31="Y",IF(I31=0,IF(H31="Select From List","",F31*H31),F31*I31),"")</f>
        <v/>
      </c>
      <c r="K31" s="137" t="s">
        <v>514</v>
      </c>
      <c r="L31" s="635" t="s">
        <v>674</v>
      </c>
      <c r="M31" s="590"/>
      <c r="N31" s="591"/>
      <c r="O31" s="592">
        <f t="shared" si="0"/>
        <v>0</v>
      </c>
      <c r="P31" s="594" t="str">
        <f>IF(Q31=1,"X074",IF(Q31=2,"X075",IF(Q31=3,"X076",IF(Q31=4,"X077",IF(Q31=5,"X078","X074")))))</f>
        <v>X074</v>
      </c>
      <c r="Q31" s="574">
        <f>VLOOKUP(K31,Select_Haul_Distance_Index,2,FALSE)</f>
        <v>1</v>
      </c>
    </row>
    <row r="32" spans="1:17" ht="28.5" customHeight="1" x14ac:dyDescent="0.2">
      <c r="A32" s="1"/>
      <c r="B32" s="6"/>
      <c r="C32" s="717"/>
      <c r="D32" s="621"/>
      <c r="E32" s="623"/>
      <c r="F32" s="625"/>
      <c r="G32" s="627"/>
      <c r="H32" s="629"/>
      <c r="I32" s="659"/>
      <c r="J32" s="633"/>
      <c r="K32" s="137"/>
      <c r="L32" s="635"/>
      <c r="M32" s="590"/>
      <c r="N32" s="591"/>
      <c r="O32" s="593"/>
      <c r="P32" s="595"/>
      <c r="Q32" s="575"/>
    </row>
    <row r="33" spans="1:41" ht="27" customHeight="1" x14ac:dyDescent="0.2">
      <c r="A33" s="1"/>
      <c r="B33" s="6"/>
      <c r="C33" s="717"/>
      <c r="D33" s="180" t="str">
        <f>VLOOKUP($P33,TOV!$A$4:$E$65536,2,FALSE)</f>
        <v>Engineering treatment to stabilise the faces on the benches (compaction of the backfill)</v>
      </c>
      <c r="E33" s="148" t="s">
        <v>515</v>
      </c>
      <c r="F33" s="181"/>
      <c r="G33" s="149" t="s">
        <v>82</v>
      </c>
      <c r="H33" s="156">
        <f>VLOOKUP($P33,TOV!$A$4:$E$65536,4,FALSE)</f>
        <v>1.2774142560340096</v>
      </c>
      <c r="I33" s="163"/>
      <c r="J33" s="136">
        <f>IF($E33="Y",IF(I33=0,F33*H33,F33*I33),"")</f>
        <v>0</v>
      </c>
      <c r="K33" s="137"/>
      <c r="L33" s="474" t="s">
        <v>675</v>
      </c>
      <c r="M33" s="7"/>
      <c r="O33" s="151">
        <f t="shared" si="0"/>
        <v>0</v>
      </c>
      <c r="P33" s="152" t="s">
        <v>231</v>
      </c>
      <c r="Q33" s="153"/>
    </row>
    <row r="34" spans="1:41" ht="27" customHeight="1" thickBot="1" x14ac:dyDescent="0.25">
      <c r="A34" s="102"/>
      <c r="B34" s="218"/>
      <c r="C34" s="717"/>
      <c r="D34" s="191" t="str">
        <f>VLOOKUP($P34,TOV!$A$4:$E$65536,2,FALSE)</f>
        <v>Construct a standard stock fence around the site</v>
      </c>
      <c r="E34" s="192" t="s">
        <v>515</v>
      </c>
      <c r="F34" s="193"/>
      <c r="G34" s="194" t="s">
        <v>101</v>
      </c>
      <c r="H34" s="195">
        <f>VLOOKUP($P34,TOV!$A$4:$E$65536,4,FALSE)</f>
        <v>8.1754512386176614</v>
      </c>
      <c r="I34" s="196"/>
      <c r="J34" s="197">
        <f>IF($E34="Y",IF(I34=0,F34*H34,F34*I34),"")</f>
        <v>0</v>
      </c>
      <c r="K34" s="213"/>
      <c r="L34" s="479" t="s">
        <v>608</v>
      </c>
      <c r="M34" s="162"/>
      <c r="N34" s="158"/>
      <c r="O34" s="166">
        <f t="shared" si="0"/>
        <v>0</v>
      </c>
      <c r="P34" s="358" t="s">
        <v>178</v>
      </c>
      <c r="Q34" s="168"/>
    </row>
    <row r="35" spans="1:41" ht="13.5" thickBot="1" x14ac:dyDescent="0.25">
      <c r="A35" s="1"/>
      <c r="B35" s="6"/>
      <c r="C35" s="260"/>
      <c r="D35" s="270"/>
      <c r="E35" s="270"/>
      <c r="F35" s="359" t="s">
        <v>573</v>
      </c>
      <c r="G35" s="360"/>
      <c r="H35" s="361"/>
      <c r="I35" s="361"/>
      <c r="J35" s="362">
        <f>SUM(J20:J34)</f>
        <v>0</v>
      </c>
      <c r="K35" s="363"/>
      <c r="L35" s="477"/>
      <c r="M35" s="7"/>
      <c r="O35" s="649"/>
      <c r="P35" s="650"/>
      <c r="Q35" s="651"/>
    </row>
    <row r="36" spans="1:41" ht="56.25" x14ac:dyDescent="0.2">
      <c r="A36" s="1"/>
      <c r="B36" s="6"/>
      <c r="C36" s="580" t="s">
        <v>616</v>
      </c>
      <c r="D36" s="130" t="str">
        <f>VLOOKUP($P36,TOV!$A$4:$E$65536,2,FALSE)</f>
        <v>Clean small surface water management dams (include all structures) to be retained after mine closure  - make safe and minor earthworks to stabilise the water management structure. ( &lt; 5 ML)</v>
      </c>
      <c r="E36" s="198" t="s">
        <v>515</v>
      </c>
      <c r="F36" s="155"/>
      <c r="G36" s="143" t="s">
        <v>41</v>
      </c>
      <c r="H36" s="134">
        <f>VLOOKUP($P36,TOV!$A$4:$E$65536,4,FALSE)</f>
        <v>2043.8628096544155</v>
      </c>
      <c r="I36" s="144"/>
      <c r="J36" s="199">
        <f>IF($E36="Y",IF(I36=0,F36*H36,F36*I36),"")</f>
        <v>0</v>
      </c>
      <c r="K36" s="157"/>
      <c r="L36" s="480" t="s">
        <v>617</v>
      </c>
      <c r="M36" s="7"/>
      <c r="O36" s="138">
        <f t="shared" si="0"/>
        <v>0</v>
      </c>
      <c r="P36" s="139" t="s">
        <v>174</v>
      </c>
      <c r="Q36" s="140"/>
    </row>
    <row r="37" spans="1:41" ht="22.5" x14ac:dyDescent="0.2">
      <c r="A37" s="1"/>
      <c r="B37" s="6"/>
      <c r="C37" s="580"/>
      <c r="D37" s="230" t="str">
        <f>VLOOKUP($P37,TOV!$A$4:$E$65536,2,FALSE)</f>
        <v>Pumping costs for water, includes hire of pumps, labour to manage pumping and fuel</v>
      </c>
      <c r="E37" s="148" t="s">
        <v>515</v>
      </c>
      <c r="F37" s="181"/>
      <c r="G37" s="149" t="s">
        <v>491</v>
      </c>
      <c r="H37" s="156">
        <f>VLOOKUP($P37,TOV!$A$4:$E$65536,4,FALSE)</f>
        <v>85.313738999999984</v>
      </c>
      <c r="I37" s="163"/>
      <c r="J37" s="136">
        <f>IF($E37="Y",IF(I37=0,F37*H37,F37*I37),"")</f>
        <v>0</v>
      </c>
      <c r="K37" s="137"/>
      <c r="L37" s="474" t="s">
        <v>618</v>
      </c>
      <c r="M37" s="7"/>
      <c r="O37" s="159">
        <f>IF(I37="",0,1)</f>
        <v>0</v>
      </c>
      <c r="P37" s="160" t="s">
        <v>489</v>
      </c>
      <c r="Q37" s="147"/>
    </row>
    <row r="38" spans="1:41" ht="22.5" x14ac:dyDescent="0.2">
      <c r="A38" s="1"/>
      <c r="B38" s="6"/>
      <c r="C38" s="580"/>
      <c r="D38" s="230" t="str">
        <f>VLOOKUP($P38,TOV!$A$4:$E$65536,2,FALSE)</f>
        <v>Removal of plastic pond liners for offsite disposal</v>
      </c>
      <c r="E38" s="148" t="s">
        <v>515</v>
      </c>
      <c r="F38" s="181"/>
      <c r="G38" s="149" t="s">
        <v>47</v>
      </c>
      <c r="H38" s="156">
        <f>VLOOKUP($P38,TOV!$A$4:$E$65536,4,FALSE)</f>
        <v>3227.0849099999996</v>
      </c>
      <c r="I38" s="163"/>
      <c r="J38" s="136">
        <f>IF($E38="Y",IF(I38=0,F38*H38,F38*I38),"")</f>
        <v>0</v>
      </c>
      <c r="K38" s="137"/>
      <c r="L38" s="474" t="s">
        <v>619</v>
      </c>
      <c r="M38" s="7"/>
      <c r="O38" s="159">
        <f>IF(I38="",0,1)</f>
        <v>0</v>
      </c>
      <c r="P38" s="160" t="s">
        <v>487</v>
      </c>
      <c r="Q38" s="147"/>
    </row>
    <row r="39" spans="1:41" ht="27" customHeight="1" thickBot="1" x14ac:dyDescent="0.25">
      <c r="A39" s="107"/>
      <c r="B39" s="117"/>
      <c r="C39" s="580"/>
      <c r="D39" s="232" t="str">
        <f>VLOOKUP($P39,TOV!$A$4:$E$65536,2,FALSE)</f>
        <v>OR Backfill dams and reinstate to natural surface.  (Push only)</v>
      </c>
      <c r="E39" s="184" t="s">
        <v>515</v>
      </c>
      <c r="F39" s="185"/>
      <c r="G39" s="164" t="s">
        <v>38</v>
      </c>
      <c r="H39" s="186">
        <f>VLOOKUP($P39,TOV!$A$4:$E$65536,4,FALSE)</f>
        <v>0.64087223692553696</v>
      </c>
      <c r="I39" s="165"/>
      <c r="J39" s="233">
        <f>IF($E39="Y",IF(I39=0,F39*H39,F39*I39),"")</f>
        <v>0</v>
      </c>
      <c r="K39" s="137"/>
      <c r="L39" s="484" t="s">
        <v>620</v>
      </c>
      <c r="M39" s="231"/>
      <c r="N39" s="102"/>
      <c r="O39" s="159">
        <f t="shared" si="0"/>
        <v>0</v>
      </c>
      <c r="P39" s="160" t="s">
        <v>460</v>
      </c>
      <c r="Q39" s="234"/>
      <c r="R39" s="235"/>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row>
    <row r="40" spans="1:41" ht="13.5" thickBot="1" x14ac:dyDescent="0.25">
      <c r="A40" s="1"/>
      <c r="B40" s="6"/>
      <c r="C40" s="205"/>
      <c r="D40" s="364"/>
      <c r="E40" s="364"/>
      <c r="F40" s="365" t="s">
        <v>573</v>
      </c>
      <c r="G40" s="366"/>
      <c r="H40" s="367"/>
      <c r="I40" s="367"/>
      <c r="J40" s="368">
        <f>SUM(J36:J39)</f>
        <v>0</v>
      </c>
      <c r="K40" s="369"/>
      <c r="L40" s="499"/>
      <c r="M40" s="7"/>
      <c r="O40" s="649"/>
      <c r="P40" s="650"/>
      <c r="Q40" s="651"/>
    </row>
    <row r="41" spans="1:41" ht="33.75" x14ac:dyDescent="0.2">
      <c r="A41" s="1"/>
      <c r="B41" s="6"/>
      <c r="C41" s="614" t="s">
        <v>601</v>
      </c>
      <c r="D41" s="225" t="str">
        <f>VLOOKUP($P41,TOV!$A$4:$E$65536,2,FALSE)</f>
        <v>Shaping or levelling of minor excavations, batters and stockpiles, final trim, rock rake and deep rip</v>
      </c>
      <c r="E41" s="210" t="s">
        <v>515</v>
      </c>
      <c r="F41" s="226"/>
      <c r="G41" s="133" t="s">
        <v>47</v>
      </c>
      <c r="H41" s="212">
        <f>VLOOKUP($P41,TOV!$A$4:$E$65536,4,FALSE)</f>
        <v>1328.5108262753702</v>
      </c>
      <c r="I41" s="135"/>
      <c r="J41" s="228">
        <f t="shared" ref="J41:J56" si="3">IF($E41="Y",IF(I41=0,F41*H41,F41*I41),"")</f>
        <v>0</v>
      </c>
      <c r="K41" s="229"/>
      <c r="L41" s="478" t="s">
        <v>602</v>
      </c>
      <c r="M41" s="7"/>
      <c r="O41" s="138">
        <f t="shared" si="0"/>
        <v>0</v>
      </c>
      <c r="P41" s="139" t="s">
        <v>273</v>
      </c>
      <c r="Q41" s="140"/>
    </row>
    <row r="42" spans="1:41" ht="27" x14ac:dyDescent="0.2">
      <c r="A42" s="1"/>
      <c r="B42" s="6"/>
      <c r="C42" s="614"/>
      <c r="D42" s="180" t="str">
        <f>VLOOKUP($P42,TOV!$A$4:$E$65536,2,FALSE)</f>
        <v>Reshaping of overburden and mullock heaps on the site.</v>
      </c>
      <c r="E42" s="148" t="s">
        <v>515</v>
      </c>
      <c r="F42" s="181"/>
      <c r="G42" s="149" t="s">
        <v>47</v>
      </c>
      <c r="H42" s="156">
        <f>VLOOKUP($P42,TOV!$A$4:$E$65536,4,FALSE)</f>
        <v>3377.5698973102621</v>
      </c>
      <c r="I42" s="163"/>
      <c r="J42" s="136">
        <f>IF($E42="Y",IF(I42=0,F42*H42,F42*I42),"")</f>
        <v>0</v>
      </c>
      <c r="K42" s="137"/>
      <c r="L42" s="474" t="s">
        <v>657</v>
      </c>
      <c r="M42" s="7"/>
      <c r="O42" s="151">
        <f>IF(I42="",0,1)</f>
        <v>0</v>
      </c>
      <c r="P42" s="303" t="s">
        <v>371</v>
      </c>
      <c r="Q42" s="153"/>
    </row>
    <row r="43" spans="1:41" ht="18" x14ac:dyDescent="0.2">
      <c r="A43" s="1"/>
      <c r="B43" s="6"/>
      <c r="C43" s="614"/>
      <c r="D43" s="180" t="str">
        <f>VLOOKUP($P43,TOV!$A$4:$E$65536,2,FALSE)</f>
        <v>Deep Ripping</v>
      </c>
      <c r="E43" s="148" t="s">
        <v>515</v>
      </c>
      <c r="F43" s="181"/>
      <c r="G43" s="149" t="s">
        <v>47</v>
      </c>
      <c r="H43" s="156">
        <f>VLOOKUP($P43,TOV!$A$4:$E$65536,4,FALSE)</f>
        <v>510.96570241360388</v>
      </c>
      <c r="I43" s="163"/>
      <c r="J43" s="136">
        <f>IF($E43="Y",IF(I43=0,F43*H43,F43*I43),"")</f>
        <v>0</v>
      </c>
      <c r="K43" s="137"/>
      <c r="L43" s="474" t="s">
        <v>676</v>
      </c>
      <c r="M43" s="7"/>
      <c r="O43" s="151">
        <f>IF(I43="",0,1)</f>
        <v>0</v>
      </c>
      <c r="P43" s="303" t="s">
        <v>450</v>
      </c>
      <c r="Q43" s="153"/>
    </row>
    <row r="44" spans="1:41" ht="36" x14ac:dyDescent="0.2">
      <c r="A44" s="1"/>
      <c r="B44" s="6"/>
      <c r="C44" s="614"/>
      <c r="D44" s="180" t="str">
        <f>VLOOKUP($P44,TOV!$A$4:$E$65536,2,FALSE)</f>
        <v>Structural water management works, banks, drains, rock lined waterways, sediment dams</v>
      </c>
      <c r="E44" s="148" t="s">
        <v>515</v>
      </c>
      <c r="F44" s="181"/>
      <c r="G44" s="149" t="s">
        <v>47</v>
      </c>
      <c r="H44" s="156">
        <f>VLOOKUP($P44,TOV!$A$4:$E$65536,4,FALSE)</f>
        <v>2043.8628096544155</v>
      </c>
      <c r="I44" s="163"/>
      <c r="J44" s="136">
        <f t="shared" si="3"/>
        <v>0</v>
      </c>
      <c r="K44" s="137"/>
      <c r="L44" s="474" t="s">
        <v>603</v>
      </c>
      <c r="M44" s="7"/>
      <c r="O44" s="151">
        <f t="shared" si="0"/>
        <v>0</v>
      </c>
      <c r="P44" s="152" t="s">
        <v>388</v>
      </c>
      <c r="Q44" s="153"/>
    </row>
    <row r="45" spans="1:41" ht="20.25" x14ac:dyDescent="0.3">
      <c r="A45" s="1"/>
      <c r="B45" s="6"/>
      <c r="C45" s="614"/>
      <c r="D45" s="154" t="str">
        <f>VLOOKUP($P45,TOV!$A$4:$E$65536,2,FALSE)</f>
        <v>Clear and grub existing vegetation</v>
      </c>
      <c r="E45" s="148" t="s">
        <v>515</v>
      </c>
      <c r="F45" s="200"/>
      <c r="G45" s="149" t="s">
        <v>47</v>
      </c>
      <c r="H45" s="201">
        <f>VLOOKUP($P45,TOV!$A$4:$E$65536,4,FALSE)</f>
        <v>3412.5495599999995</v>
      </c>
      <c r="I45" s="220"/>
      <c r="J45" s="136">
        <f t="shared" si="3"/>
        <v>0</v>
      </c>
      <c r="K45" s="157"/>
      <c r="L45" s="483" t="s">
        <v>605</v>
      </c>
      <c r="M45" s="221"/>
      <c r="N45" s="222"/>
      <c r="O45" s="159">
        <f t="shared" si="0"/>
        <v>0</v>
      </c>
      <c r="P45" s="160" t="s">
        <v>606</v>
      </c>
      <c r="Q45" s="153"/>
    </row>
    <row r="46" spans="1:41" ht="22.5" x14ac:dyDescent="0.2">
      <c r="A46" s="1"/>
      <c r="B46" s="6"/>
      <c r="C46" s="614"/>
      <c r="D46" s="180" t="str">
        <f>VLOOKUP($P46,TOV!$A$4:$E$65536,2,FALSE)</f>
        <v>Reshape, deep rip and ameliorate sealed unsealed roads</v>
      </c>
      <c r="E46" s="148" t="s">
        <v>515</v>
      </c>
      <c r="F46" s="181"/>
      <c r="G46" s="149" t="s">
        <v>47</v>
      </c>
      <c r="H46" s="156">
        <f>VLOOKUP($P46,TOV!$A$4:$E$65536,4,FALSE)</f>
        <v>2554.8285120680189</v>
      </c>
      <c r="I46" s="163"/>
      <c r="J46" s="136">
        <f t="shared" si="3"/>
        <v>0</v>
      </c>
      <c r="K46" s="137"/>
      <c r="L46" s="474" t="s">
        <v>647</v>
      </c>
      <c r="M46" s="7"/>
      <c r="O46" s="151">
        <f t="shared" si="0"/>
        <v>0</v>
      </c>
      <c r="P46" s="152" t="s">
        <v>363</v>
      </c>
      <c r="Q46" s="153"/>
    </row>
    <row r="47" spans="1:41" ht="33.75" x14ac:dyDescent="0.2">
      <c r="A47" s="1"/>
      <c r="B47" s="6"/>
      <c r="C47" s="614"/>
      <c r="D47" s="180" t="str">
        <f>VLOOKUP($P47,TOV!$A$4:$E$65536,2,FALSE)</f>
        <v>Maintenance of the rehabilitated areas that are intended to be part of the ongoing closure of the site.</v>
      </c>
      <c r="E47" s="148" t="s">
        <v>515</v>
      </c>
      <c r="F47" s="181"/>
      <c r="G47" s="149" t="s">
        <v>47</v>
      </c>
      <c r="H47" s="156">
        <f>VLOOKUP($P47,TOV!$A$4:$E$65536,4,FALSE)</f>
        <v>664.25541313768508</v>
      </c>
      <c r="I47" s="163"/>
      <c r="J47" s="136">
        <f t="shared" si="3"/>
        <v>0</v>
      </c>
      <c r="K47" s="137"/>
      <c r="L47" s="474" t="s">
        <v>659</v>
      </c>
      <c r="M47" s="7"/>
      <c r="O47" s="151">
        <f t="shared" si="0"/>
        <v>0</v>
      </c>
      <c r="P47" s="152" t="s">
        <v>52</v>
      </c>
      <c r="Q47" s="153"/>
    </row>
    <row r="48" spans="1:41" ht="27" x14ac:dyDescent="0.2">
      <c r="A48" s="1"/>
      <c r="B48" s="6"/>
      <c r="C48" s="614"/>
      <c r="D48" s="180" t="str">
        <f>VLOOKUP($P48,TOV!$A$4:$E$65536,2,FALSE)</f>
        <v>Construct a standard stock fence around the site</v>
      </c>
      <c r="E48" s="148" t="s">
        <v>515</v>
      </c>
      <c r="F48" s="181"/>
      <c r="G48" s="149" t="s">
        <v>101</v>
      </c>
      <c r="H48" s="156">
        <f>VLOOKUP($P48,TOV!$A$4:$E$65536,4,FALSE)</f>
        <v>8.1754512386176614</v>
      </c>
      <c r="I48" s="163"/>
      <c r="J48" s="136">
        <f t="shared" si="3"/>
        <v>0</v>
      </c>
      <c r="K48" s="137"/>
      <c r="L48" s="474" t="s">
        <v>608</v>
      </c>
      <c r="M48" s="7"/>
      <c r="O48" s="151">
        <f t="shared" si="0"/>
        <v>0</v>
      </c>
      <c r="P48" s="152" t="s">
        <v>178</v>
      </c>
      <c r="Q48" s="153"/>
    </row>
    <row r="49" spans="1:18" ht="12.75" customHeight="1" x14ac:dyDescent="0.2">
      <c r="A49" s="1"/>
      <c r="B49" s="6"/>
      <c r="C49" s="614"/>
      <c r="D49" s="621" t="str">
        <f>VLOOKUP($P49,TOV!$A$4:$E$65536,2,FALSE)</f>
        <v>Source (where availiable onsite), cart, spread and lightly rip topsoil</v>
      </c>
      <c r="E49" s="623" t="s">
        <v>515</v>
      </c>
      <c r="F49" s="625"/>
      <c r="G49" s="627" t="s">
        <v>82</v>
      </c>
      <c r="H49" s="629" t="str">
        <f>VLOOKUP($P49,TOV!$A$4:$E$65536,4,FALSE)</f>
        <v>Select from List</v>
      </c>
      <c r="I49" s="659"/>
      <c r="J49" s="633" t="str">
        <f>IF($E49="Y",IF(I49=0,IF(H49="Select From List","",F49*H49),F49*I49),"")</f>
        <v/>
      </c>
      <c r="K49" s="137" t="s">
        <v>514</v>
      </c>
      <c r="L49" s="635" t="s">
        <v>609</v>
      </c>
      <c r="M49" s="590"/>
      <c r="N49" s="591"/>
      <c r="O49" s="714">
        <f t="shared" si="0"/>
        <v>0</v>
      </c>
      <c r="P49" s="715" t="str">
        <f>IF(Q49=1,"X044",IF(Q49=2,"X045",IF(Q49=3,"X046",IF(Q49=4,"x047",IF(Q49=5,"X048","X044")))))</f>
        <v>X044</v>
      </c>
      <c r="Q49" s="574">
        <f>VLOOKUP(K49,Select_Haul_Distance_Index,2,FALSE)</f>
        <v>1</v>
      </c>
    </row>
    <row r="50" spans="1:18" ht="27" customHeight="1" x14ac:dyDescent="0.2">
      <c r="A50" s="1"/>
      <c r="B50" s="6"/>
      <c r="C50" s="614"/>
      <c r="D50" s="621"/>
      <c r="E50" s="623"/>
      <c r="F50" s="625"/>
      <c r="G50" s="627"/>
      <c r="H50" s="629"/>
      <c r="I50" s="659"/>
      <c r="J50" s="633"/>
      <c r="K50" s="137"/>
      <c r="L50" s="635"/>
      <c r="M50" s="590"/>
      <c r="N50" s="591"/>
      <c r="O50" s="714"/>
      <c r="P50" s="715"/>
      <c r="Q50" s="575"/>
    </row>
    <row r="51" spans="1:18" s="1" customFormat="1" ht="33.75" x14ac:dyDescent="0.2">
      <c r="A51" s="102"/>
      <c r="B51" s="218"/>
      <c r="C51" s="614"/>
      <c r="D51" s="154" t="str">
        <f>VLOOKUP($P51,TOV!$A$4:$E$65536,2,FALSE)</f>
        <v>Topsoil spreading (topsoil stockpiled immediately adjacent to the area to be rehabilitated) for push &lt; 50m</v>
      </c>
      <c r="E51" s="148" t="s">
        <v>515</v>
      </c>
      <c r="F51" s="200"/>
      <c r="G51" s="149" t="s">
        <v>82</v>
      </c>
      <c r="H51" s="201">
        <f>VLOOKUP($P51,TOV!$A$4:$E$65536,4,FALSE)</f>
        <v>0.91973826434448702</v>
      </c>
      <c r="I51" s="307"/>
      <c r="J51" s="136">
        <f>IF($E51="Y",IF(I51=0,F51*H51,F51*I51),"")</f>
        <v>0</v>
      </c>
      <c r="K51" s="157"/>
      <c r="L51" s="474" t="s">
        <v>660</v>
      </c>
      <c r="M51" s="308"/>
      <c r="N51" s="309"/>
      <c r="O51" s="258">
        <f>IF(I51="",0,1)</f>
        <v>0</v>
      </c>
      <c r="P51" s="310" t="s">
        <v>448</v>
      </c>
      <c r="Q51" s="311"/>
      <c r="R51" s="312"/>
    </row>
    <row r="52" spans="1:18" s="1" customFormat="1" ht="36" x14ac:dyDescent="0.2">
      <c r="A52" s="102"/>
      <c r="B52" s="218"/>
      <c r="C52" s="614"/>
      <c r="D52" s="154" t="str">
        <f>VLOOKUP($P52,TOV!$A$4:$E$65536,2,FALSE)</f>
        <v>Purchase of topsoil where there is a shortage on site</v>
      </c>
      <c r="E52" s="148" t="s">
        <v>515</v>
      </c>
      <c r="F52" s="200"/>
      <c r="G52" s="149" t="s">
        <v>38</v>
      </c>
      <c r="H52" s="201">
        <f>VLOOKUP($P52,TOV!$A$4:$E$65536,4,FALSE)</f>
        <v>34.622540861999994</v>
      </c>
      <c r="I52" s="220"/>
      <c r="J52" s="136">
        <f t="shared" ref="J52" si="4">IF($E52="Y",IF(I52=0,F52*H52,F52*I52),"")</f>
        <v>0</v>
      </c>
      <c r="K52" s="157"/>
      <c r="L52" s="475" t="s">
        <v>610</v>
      </c>
      <c r="M52" s="162"/>
      <c r="N52" s="16"/>
      <c r="O52" s="159">
        <f t="shared" ref="O52" si="5">IF(I52="",0,1)</f>
        <v>0</v>
      </c>
      <c r="P52" s="160" t="s">
        <v>611</v>
      </c>
      <c r="Q52" s="311"/>
      <c r="R52" s="312"/>
    </row>
    <row r="53" spans="1:18" ht="27" customHeight="1" x14ac:dyDescent="0.2">
      <c r="A53" s="1"/>
      <c r="B53" s="6"/>
      <c r="C53" s="614"/>
      <c r="D53" s="180" t="str">
        <f>VLOOKUP($P53,TOV!$A$4:$E$65536,2,FALSE)</f>
        <v>Soil amelioration (adding gypsum, lime, etc)</v>
      </c>
      <c r="E53" s="148" t="s">
        <v>515</v>
      </c>
      <c r="F53" s="181"/>
      <c r="G53" s="149" t="s">
        <v>47</v>
      </c>
      <c r="H53" s="156">
        <f>VLOOKUP($P53,TOV!$A$4:$E$65536,4,FALSE)</f>
        <v>510.96570241360388</v>
      </c>
      <c r="I53" s="163"/>
      <c r="J53" s="136">
        <f t="shared" si="3"/>
        <v>0</v>
      </c>
      <c r="K53" s="137"/>
      <c r="L53" s="474" t="s">
        <v>612</v>
      </c>
      <c r="M53" s="7"/>
      <c r="O53" s="151">
        <f t="shared" si="0"/>
        <v>0</v>
      </c>
      <c r="P53" s="152" t="s">
        <v>119</v>
      </c>
      <c r="Q53" s="153"/>
    </row>
    <row r="54" spans="1:18" ht="63" x14ac:dyDescent="0.2">
      <c r="A54" s="1"/>
      <c r="B54" s="6"/>
      <c r="C54" s="614"/>
      <c r="D54" s="180" t="str">
        <f>VLOOKUP($P54,TOV!$A$4:$E$65536,2,FALSE)</f>
        <v>Direct seeding (native tree species OR using native grasses), with single application of fertiliser</v>
      </c>
      <c r="E54" s="148" t="s">
        <v>515</v>
      </c>
      <c r="F54" s="181"/>
      <c r="G54" s="149" t="s">
        <v>47</v>
      </c>
      <c r="H54" s="156">
        <f>VLOOKUP($P54,TOV!$A$4:$E$65536,4,FALSE)</f>
        <v>3576.7599168952274</v>
      </c>
      <c r="I54" s="163"/>
      <c r="J54" s="136">
        <f t="shared" si="3"/>
        <v>0</v>
      </c>
      <c r="K54" s="137"/>
      <c r="L54" s="474" t="s">
        <v>613</v>
      </c>
      <c r="M54" s="7"/>
      <c r="O54" s="151">
        <f t="shared" si="0"/>
        <v>0</v>
      </c>
      <c r="P54" s="152" t="s">
        <v>121</v>
      </c>
      <c r="Q54" s="153"/>
    </row>
    <row r="55" spans="1:18" ht="63" x14ac:dyDescent="0.2">
      <c r="A55" s="1"/>
      <c r="B55" s="6"/>
      <c r="C55" s="614"/>
      <c r="D55" s="180" t="str">
        <f>VLOOKUP($P55,TOV!$A$4:$E$65536,2,FALSE)</f>
        <v>Direct seeding (pasture grass species), with single application of fertiliser</v>
      </c>
      <c r="E55" s="148" t="s">
        <v>515</v>
      </c>
      <c r="F55" s="181"/>
      <c r="G55" s="149" t="s">
        <v>47</v>
      </c>
      <c r="H55" s="156">
        <f>VLOOKUP($P55,TOV!$A$4:$E$65536,4,FALSE)</f>
        <v>919.73826434448688</v>
      </c>
      <c r="I55" s="163"/>
      <c r="J55" s="136">
        <f t="shared" si="3"/>
        <v>0</v>
      </c>
      <c r="K55" s="137"/>
      <c r="L55" s="474" t="s">
        <v>614</v>
      </c>
      <c r="M55" s="7"/>
      <c r="O55" s="151">
        <f t="shared" si="0"/>
        <v>0</v>
      </c>
      <c r="P55" s="152" t="s">
        <v>123</v>
      </c>
      <c r="Q55" s="153"/>
    </row>
    <row r="56" spans="1:18" ht="27" customHeight="1" thickBot="1" x14ac:dyDescent="0.25">
      <c r="A56" s="1"/>
      <c r="B56" s="6"/>
      <c r="C56" s="614"/>
      <c r="D56" s="191" t="str">
        <f>VLOOKUP($P56,TOV!$A$4:$E$65536,2,FALSE)</f>
        <v>Planting tubestock (&lt; 15cm)</v>
      </c>
      <c r="E56" s="192" t="s">
        <v>515</v>
      </c>
      <c r="F56" s="193"/>
      <c r="G56" s="194" t="s">
        <v>41</v>
      </c>
      <c r="H56" s="195">
        <f>VLOOKUP($P56,TOV!$A$4:$E$65536,4,FALSE)</f>
        <v>8.6604356341288788</v>
      </c>
      <c r="I56" s="196"/>
      <c r="J56" s="197">
        <f t="shared" si="3"/>
        <v>0</v>
      </c>
      <c r="K56" s="213"/>
      <c r="L56" s="479" t="s">
        <v>615</v>
      </c>
      <c r="M56" s="7"/>
      <c r="O56" s="151">
        <f t="shared" si="0"/>
        <v>0</v>
      </c>
      <c r="P56" s="152" t="s">
        <v>129</v>
      </c>
      <c r="Q56" s="153"/>
    </row>
    <row r="57" spans="1:18" ht="13.5" thickBot="1" x14ac:dyDescent="0.25">
      <c r="A57" s="1"/>
      <c r="B57" s="6"/>
      <c r="C57" s="205"/>
      <c r="D57" s="206"/>
      <c r="E57" s="207"/>
      <c r="F57" s="171" t="s">
        <v>573</v>
      </c>
      <c r="G57" s="171"/>
      <c r="H57" s="171"/>
      <c r="I57" s="208"/>
      <c r="J57" s="209">
        <f>SUM(J41:J56)</f>
        <v>0</v>
      </c>
      <c r="K57" s="209"/>
      <c r="L57" s="481"/>
      <c r="M57" s="7"/>
      <c r="O57" s="649"/>
      <c r="P57" s="650"/>
      <c r="Q57" s="651"/>
    </row>
    <row r="58" spans="1:18" ht="12.75" x14ac:dyDescent="0.2">
      <c r="A58" s="1"/>
      <c r="B58" s="6"/>
      <c r="C58" s="667" t="s">
        <v>621</v>
      </c>
      <c r="D58" s="370" t="s">
        <v>622</v>
      </c>
      <c r="E58" s="133"/>
      <c r="F58" s="237"/>
      <c r="G58" s="133"/>
      <c r="H58" s="652"/>
      <c r="I58" s="135"/>
      <c r="J58" s="238">
        <f>F58*I58</f>
        <v>0</v>
      </c>
      <c r="K58" s="238"/>
      <c r="L58" s="500" t="s">
        <v>623</v>
      </c>
      <c r="M58" s="7"/>
      <c r="O58" s="138">
        <f t="shared" si="0"/>
        <v>0</v>
      </c>
      <c r="P58" s="266"/>
      <c r="Q58" s="140"/>
    </row>
    <row r="59" spans="1:18" ht="12.75" x14ac:dyDescent="0.2">
      <c r="A59" s="1"/>
      <c r="B59" s="6"/>
      <c r="C59" s="581"/>
      <c r="D59" s="371" t="s">
        <v>624</v>
      </c>
      <c r="E59" s="149"/>
      <c r="F59" s="240"/>
      <c r="G59" s="149"/>
      <c r="H59" s="653"/>
      <c r="I59" s="163"/>
      <c r="J59" s="241">
        <f>F59*I59</f>
        <v>0</v>
      </c>
      <c r="K59" s="241"/>
      <c r="L59" s="501" t="s">
        <v>623</v>
      </c>
      <c r="M59" s="7"/>
      <c r="O59" s="151">
        <f t="shared" si="0"/>
        <v>0</v>
      </c>
      <c r="P59" s="267"/>
      <c r="Q59" s="153"/>
    </row>
    <row r="60" spans="1:18" ht="13.5" thickBot="1" x14ac:dyDescent="0.25">
      <c r="A60" s="1"/>
      <c r="B60" s="6"/>
      <c r="C60" s="581"/>
      <c r="D60" s="372" t="s">
        <v>625</v>
      </c>
      <c r="E60" s="164"/>
      <c r="F60" s="243"/>
      <c r="G60" s="164"/>
      <c r="H60" s="654"/>
      <c r="I60" s="165"/>
      <c r="J60" s="268">
        <f>F60*I60</f>
        <v>0</v>
      </c>
      <c r="K60" s="244"/>
      <c r="L60" s="502" t="s">
        <v>623</v>
      </c>
      <c r="M60" s="7"/>
      <c r="O60" s="166">
        <f t="shared" si="0"/>
        <v>0</v>
      </c>
      <c r="P60" s="269"/>
      <c r="Q60" s="168"/>
    </row>
    <row r="61" spans="1:18" ht="13.5" thickBot="1" x14ac:dyDescent="0.25">
      <c r="A61" s="1"/>
      <c r="B61" s="6"/>
      <c r="C61" s="260"/>
      <c r="D61" s="270"/>
      <c r="E61" s="270"/>
      <c r="F61" s="359" t="s">
        <v>573</v>
      </c>
      <c r="G61" s="360"/>
      <c r="H61" s="361"/>
      <c r="I61" s="361"/>
      <c r="J61" s="362">
        <f>SUM(J58:J60)</f>
        <v>0</v>
      </c>
      <c r="K61" s="373"/>
      <c r="L61" s="477"/>
      <c r="M61" s="7"/>
      <c r="O61" s="711"/>
      <c r="P61" s="712"/>
      <c r="Q61" s="713"/>
    </row>
    <row r="62" spans="1:18" ht="15" x14ac:dyDescent="0.2">
      <c r="A62" s="1"/>
      <c r="B62" s="6"/>
      <c r="C62" s="214"/>
      <c r="D62" s="214"/>
      <c r="E62" s="214"/>
      <c r="F62" s="214"/>
      <c r="G62" s="214"/>
      <c r="H62" s="214"/>
      <c r="I62" s="214"/>
      <c r="J62" s="214"/>
      <c r="K62" s="214"/>
      <c r="L62" s="491"/>
      <c r="M62" s="7"/>
      <c r="O62" s="1"/>
      <c r="P62" s="1"/>
      <c r="Q62" s="16"/>
    </row>
    <row r="63" spans="1:18" ht="15.75" x14ac:dyDescent="0.2">
      <c r="A63" s="1"/>
      <c r="B63" s="6"/>
      <c r="C63" s="246" t="s">
        <v>627</v>
      </c>
      <c r="D63" s="655" t="s">
        <v>628</v>
      </c>
      <c r="E63" s="655"/>
      <c r="F63" s="656"/>
      <c r="G63" s="656"/>
      <c r="H63" s="656"/>
      <c r="I63" s="273"/>
      <c r="J63" s="374">
        <f>SUM(J35,J40,J57,J61)</f>
        <v>0</v>
      </c>
      <c r="K63" s="374"/>
      <c r="L63" s="491"/>
      <c r="M63" s="7"/>
      <c r="O63" s="1"/>
      <c r="P63" s="1"/>
      <c r="Q63" s="16"/>
    </row>
    <row r="64" spans="1:18" ht="15" x14ac:dyDescent="0.2">
      <c r="A64" s="1"/>
      <c r="B64" s="50"/>
      <c r="C64" s="275"/>
      <c r="D64" s="275"/>
      <c r="E64" s="275"/>
      <c r="F64" s="338"/>
      <c r="G64" s="275"/>
      <c r="H64" s="275"/>
      <c r="I64" s="275"/>
      <c r="J64" s="275"/>
      <c r="K64" s="275"/>
      <c r="L64" s="492"/>
      <c r="M64" s="33"/>
      <c r="O64" s="1"/>
      <c r="P64" s="1"/>
      <c r="Q64" s="16"/>
    </row>
    <row r="65" spans="1:17" ht="15" x14ac:dyDescent="0.25">
      <c r="A65" s="1"/>
      <c r="B65" s="1"/>
      <c r="C65" s="1"/>
      <c r="D65" s="1"/>
      <c r="E65" s="1"/>
      <c r="F65" s="1"/>
      <c r="G65" s="1"/>
      <c r="H65" s="1"/>
      <c r="I65" s="1"/>
      <c r="J65" s="1"/>
      <c r="K65" s="1"/>
      <c r="L65" s="457"/>
      <c r="M65" s="1"/>
      <c r="O65" s="1"/>
      <c r="P65" s="1"/>
      <c r="Q65" s="16"/>
    </row>
    <row r="66" spans="1:17" ht="12.75" hidden="1" customHeight="1" x14ac:dyDescent="0.25"/>
    <row r="67" spans="1:17" ht="12.75" hidden="1" customHeight="1" x14ac:dyDescent="0.25"/>
    <row r="68" spans="1:17" ht="12.75" hidden="1" customHeight="1" x14ac:dyDescent="0.25"/>
    <row r="69" spans="1:17" ht="12.75" hidden="1" customHeight="1" x14ac:dyDescent="0.25"/>
    <row r="70" spans="1:17" ht="12.75" hidden="1" customHeight="1" x14ac:dyDescent="0.25"/>
    <row r="71" spans="1:17" ht="12.75" hidden="1" customHeight="1" x14ac:dyDescent="0.25"/>
    <row r="72" spans="1:17" ht="12.75" hidden="1" customHeight="1" x14ac:dyDescent="0.25"/>
    <row r="73" spans="1:17" ht="12.75" hidden="1" customHeight="1" x14ac:dyDescent="0.25"/>
    <row r="74" spans="1:17" ht="12.75" hidden="1" customHeight="1" x14ac:dyDescent="0.25"/>
    <row r="75" spans="1:17" ht="12.75" hidden="1" customHeight="1" x14ac:dyDescent="0.25"/>
    <row r="76" spans="1:17" ht="12.75" hidden="1" customHeight="1" x14ac:dyDescent="0.25"/>
    <row r="77" spans="1:17" ht="12.75" hidden="1" customHeight="1" x14ac:dyDescent="0.25"/>
    <row r="78" spans="1:17" ht="12.75" hidden="1" customHeight="1" x14ac:dyDescent="0.25"/>
    <row r="79" spans="1:17" ht="12.75" hidden="1" customHeight="1" x14ac:dyDescent="0.25"/>
    <row r="80" spans="1:17" ht="12.75" hidden="1" customHeight="1" x14ac:dyDescent="0.25"/>
    <row r="81" ht="12.75" hidden="1" customHeight="1" x14ac:dyDescent="0.25"/>
    <row r="82" ht="12.75" hidden="1" customHeight="1" x14ac:dyDescent="0.25"/>
    <row r="83" ht="12.75" hidden="1" customHeight="1" x14ac:dyDescent="0.25"/>
    <row r="84" ht="12.75" hidden="1" customHeight="1" x14ac:dyDescent="0.25"/>
    <row r="85" ht="12.75" hidden="1" customHeight="1" x14ac:dyDescent="0.25"/>
    <row r="86" ht="12.75" hidden="1" customHeight="1" x14ac:dyDescent="0.25"/>
    <row r="87" ht="12.75" hidden="1" customHeight="1" x14ac:dyDescent="0.25"/>
    <row r="88" ht="12.75" hidden="1" customHeight="1" x14ac:dyDescent="0.25"/>
    <row r="89" ht="12.75" hidden="1" customHeight="1" x14ac:dyDescent="0.25"/>
    <row r="90" ht="12.75" hidden="1" customHeight="1" x14ac:dyDescent="0.25"/>
    <row r="91" ht="12.75" hidden="1" customHeight="1" x14ac:dyDescent="0.25"/>
    <row r="92" ht="12.75" hidden="1" customHeight="1" x14ac:dyDescent="0.25"/>
    <row r="93" ht="12.75" hidden="1" customHeight="1" x14ac:dyDescent="0.25"/>
    <row r="94" ht="12.75" hidden="1" customHeight="1" x14ac:dyDescent="0.25"/>
    <row r="95" ht="12.75" hidden="1" customHeight="1" x14ac:dyDescent="0.25"/>
    <row r="96" ht="12.75" hidden="1" customHeight="1" x14ac:dyDescent="0.25"/>
    <row r="97" ht="15" x14ac:dyDescent="0.25"/>
    <row r="98" ht="15" x14ac:dyDescent="0.25"/>
    <row r="99" ht="15" x14ac:dyDescent="0.25"/>
    <row r="100" ht="15" x14ac:dyDescent="0.25"/>
    <row r="101" ht="15" x14ac:dyDescent="0.25"/>
    <row r="102" ht="12.75" hidden="1" customHeight="1" x14ac:dyDescent="0.25"/>
    <row r="103" ht="15" x14ac:dyDescent="0.25"/>
    <row r="104" ht="15" x14ac:dyDescent="0.25"/>
  </sheetData>
  <mergeCells count="88">
    <mergeCell ref="C3:L3"/>
    <mergeCell ref="C8:D17"/>
    <mergeCell ref="G8:H8"/>
    <mergeCell ref="G9:H9"/>
    <mergeCell ref="G10:H10"/>
    <mergeCell ref="G11:H11"/>
    <mergeCell ref="G12:H12"/>
    <mergeCell ref="G13:H13"/>
    <mergeCell ref="G14:H14"/>
    <mergeCell ref="G15:H15"/>
    <mergeCell ref="G16:H16"/>
    <mergeCell ref="G17:H17"/>
    <mergeCell ref="M22:M23"/>
    <mergeCell ref="N22:N23"/>
    <mergeCell ref="F18:G18"/>
    <mergeCell ref="C20:C34"/>
    <mergeCell ref="D22:D23"/>
    <mergeCell ref="E22:E23"/>
    <mergeCell ref="F22:F23"/>
    <mergeCell ref="G22:G23"/>
    <mergeCell ref="J24:J25"/>
    <mergeCell ref="L24:L25"/>
    <mergeCell ref="I22:I23"/>
    <mergeCell ref="J22:J23"/>
    <mergeCell ref="L22:L23"/>
    <mergeCell ref="E24:E25"/>
    <mergeCell ref="F24:F25"/>
    <mergeCell ref="G24:G25"/>
    <mergeCell ref="H24:H25"/>
    <mergeCell ref="I24:I25"/>
    <mergeCell ref="O22:O23"/>
    <mergeCell ref="Q24:Q25"/>
    <mergeCell ref="D26:D27"/>
    <mergeCell ref="E26:E27"/>
    <mergeCell ref="F26:F27"/>
    <mergeCell ref="G26:G27"/>
    <mergeCell ref="H26:H27"/>
    <mergeCell ref="O26:O27"/>
    <mergeCell ref="M24:M25"/>
    <mergeCell ref="N24:N25"/>
    <mergeCell ref="O24:O25"/>
    <mergeCell ref="P24:P25"/>
    <mergeCell ref="H22:H23"/>
    <mergeCell ref="P22:P23"/>
    <mergeCell ref="Q22:Q23"/>
    <mergeCell ref="D24:D25"/>
    <mergeCell ref="O35:Q35"/>
    <mergeCell ref="P26:P27"/>
    <mergeCell ref="Q26:Q27"/>
    <mergeCell ref="D31:D32"/>
    <mergeCell ref="E31:E32"/>
    <mergeCell ref="F31:F32"/>
    <mergeCell ref="G31:G32"/>
    <mergeCell ref="H31:H32"/>
    <mergeCell ref="I31:I32"/>
    <mergeCell ref="J31:J32"/>
    <mergeCell ref="L31:L32"/>
    <mergeCell ref="I26:I27"/>
    <mergeCell ref="J26:J27"/>
    <mergeCell ref="L26:L27"/>
    <mergeCell ref="M26:M27"/>
    <mergeCell ref="N26:N27"/>
    <mergeCell ref="M31:M32"/>
    <mergeCell ref="N31:N32"/>
    <mergeCell ref="O31:O32"/>
    <mergeCell ref="P31:P32"/>
    <mergeCell ref="Q31:Q32"/>
    <mergeCell ref="Q49:Q50"/>
    <mergeCell ref="C36:C39"/>
    <mergeCell ref="O40:Q40"/>
    <mergeCell ref="C41:C56"/>
    <mergeCell ref="D49:D50"/>
    <mergeCell ref="E49:E50"/>
    <mergeCell ref="F49:F50"/>
    <mergeCell ref="G49:G50"/>
    <mergeCell ref="H49:H50"/>
    <mergeCell ref="I49:I50"/>
    <mergeCell ref="J49:J50"/>
    <mergeCell ref="L49:L50"/>
    <mergeCell ref="M49:M50"/>
    <mergeCell ref="N49:N50"/>
    <mergeCell ref="O49:O50"/>
    <mergeCell ref="P49:P50"/>
    <mergeCell ref="O57:Q57"/>
    <mergeCell ref="C58:C60"/>
    <mergeCell ref="H58:H60"/>
    <mergeCell ref="O61:Q61"/>
    <mergeCell ref="D63:H63"/>
  </mergeCells>
  <conditionalFormatting sqref="F20:F34">
    <cfRule type="expression" dxfId="29" priority="14" stopIfTrue="1">
      <formula>$E20="N"</formula>
    </cfRule>
    <cfRule type="expression" dxfId="28" priority="15" stopIfTrue="1">
      <formula>$E20="Y"</formula>
    </cfRule>
  </conditionalFormatting>
  <conditionalFormatting sqref="F36:F39">
    <cfRule type="expression" dxfId="27" priority="10" stopIfTrue="1">
      <formula>$E36="N"</formula>
    </cfRule>
    <cfRule type="expression" dxfId="26" priority="11" stopIfTrue="1">
      <formula>$E36="Y"</formula>
    </cfRule>
  </conditionalFormatting>
  <conditionalFormatting sqref="F41:F56">
    <cfRule type="expression" dxfId="25" priority="2" stopIfTrue="1">
      <formula>$E41="N"</formula>
    </cfRule>
    <cfRule type="expression" dxfId="24" priority="3" stopIfTrue="1">
      <formula>$E41="Y"</formula>
    </cfRule>
  </conditionalFormatting>
  <conditionalFormatting sqref="J20:J34">
    <cfRule type="expression" dxfId="23" priority="13" stopIfTrue="1">
      <formula>$O20=1</formula>
    </cfRule>
  </conditionalFormatting>
  <conditionalFormatting sqref="J36:J39">
    <cfRule type="expression" dxfId="22" priority="9" stopIfTrue="1">
      <formula>$O36=1</formula>
    </cfRule>
  </conditionalFormatting>
  <conditionalFormatting sqref="J41:J56">
    <cfRule type="expression" dxfId="21" priority="1" stopIfTrue="1">
      <formula>$O41=1</formula>
    </cfRule>
  </conditionalFormatting>
  <conditionalFormatting sqref="K20:K34">
    <cfRule type="expression" dxfId="20" priority="16" stopIfTrue="1">
      <formula>$O20=1</formula>
    </cfRule>
  </conditionalFormatting>
  <conditionalFormatting sqref="K36:K39">
    <cfRule type="expression" dxfId="19" priority="12" stopIfTrue="1">
      <formula>$O36=1</formula>
    </cfRule>
  </conditionalFormatting>
  <conditionalFormatting sqref="K41:K56">
    <cfRule type="expression" dxfId="18" priority="4" stopIfTrue="1">
      <formula>$O41=1</formula>
    </cfRule>
  </conditionalFormatting>
  <dataValidations count="5">
    <dataValidation type="list" allowBlank="1" showInputMessage="1" showErrorMessage="1" sqref="K22" xr:uid="{B7315852-0A09-4177-9C65-D58F9FF73436}">
      <formula1>Select_Push_Distance_Sand</formula1>
    </dataValidation>
    <dataValidation type="list" allowBlank="1" showInputMessage="1" showErrorMessage="1" sqref="K24" xr:uid="{AEEED84B-7D2E-4DE0-87DB-13A47F4ABDA1}">
      <formula1>Select_Push_Distance_Clay</formula1>
    </dataValidation>
    <dataValidation type="list" allowBlank="1" showInputMessage="1" showErrorMessage="1" sqref="K26" xr:uid="{9AF6B715-BCE2-456B-A707-75726CBBAA8D}">
      <formula1>Select_Push_Distance_Stiff_Clay</formula1>
    </dataValidation>
    <dataValidation type="list" allowBlank="1" showInputMessage="1" showErrorMessage="1" sqref="K49 K31" xr:uid="{6E6660DB-7275-4BDA-A055-F29DE65F3620}">
      <formula1>Select_Haul_Distance</formula1>
    </dataValidation>
    <dataValidation type="list" allowBlank="1" showInputMessage="1" showErrorMessage="1" sqref="E36:E39 E20:E34 E41:E56" xr:uid="{C1B623E1-5E5A-41EA-9D72-F6BF04AE6038}">
      <formula1>Y_N</formula1>
    </dataValidation>
  </dataValidations>
  <printOptions horizontalCentered="1"/>
  <pageMargins left="0.59055118110236227" right="0.59055118110236227" top="0.59055118110236227" bottom="0.59055118110236227" header="0.51181102362204722" footer="0.51181102362204722"/>
  <pageSetup paperSize="8" orientation="landscape" r:id="rId1"/>
  <headerFooter alignWithMargins="0">
    <oddFooter>&amp;C_x000D_&amp;1#&amp;"Calibri"&amp;12&amp;K000000 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3E9E8-2BDC-45EF-BA34-BBC0ECC36CB1}">
  <sheetPr codeName="Sheet26"/>
  <dimension ref="A1:AO104"/>
  <sheetViews>
    <sheetView topLeftCell="A3" workbookViewId="0">
      <selection activeCell="F21" sqref="F21"/>
    </sheetView>
  </sheetViews>
  <sheetFormatPr defaultColWidth="0" defaultRowHeight="0" customHeight="1" zeroHeight="1" x14ac:dyDescent="0.25"/>
  <cols>
    <col min="1" max="2" width="2.42578125" style="2" customWidth="1"/>
    <col min="3" max="3" width="25.85546875" style="2" customWidth="1"/>
    <col min="4" max="4" width="33.7109375" style="2" customWidth="1"/>
    <col min="5" max="5" width="9" style="2" customWidth="1"/>
    <col min="6" max="6" width="7.42578125" style="2" customWidth="1"/>
    <col min="7" max="7" width="4" style="2" customWidth="1"/>
    <col min="8" max="9" width="11.140625" style="2" customWidth="1"/>
    <col min="10" max="10" width="15.7109375" style="2" customWidth="1"/>
    <col min="11" max="11" width="28.7109375" style="2" customWidth="1"/>
    <col min="12" max="12" width="40.140625" customWidth="1"/>
    <col min="13" max="13" width="2.140625" style="2" customWidth="1"/>
    <col min="14" max="14" width="2.42578125" style="1" customWidth="1"/>
    <col min="15" max="16" width="4.5703125" style="2" hidden="1" customWidth="1"/>
    <col min="17" max="17" width="4.5703125" style="375" hidden="1" customWidth="1"/>
    <col min="18" max="18" width="2.42578125" style="1" hidden="1" customWidth="1"/>
    <col min="19" max="16384" width="8.85546875" style="2" hidden="1"/>
  </cols>
  <sheetData>
    <row r="1" spans="1:18" ht="15" x14ac:dyDescent="0.25">
      <c r="A1" s="1"/>
      <c r="B1" s="1"/>
      <c r="C1" s="1"/>
      <c r="D1" s="1"/>
      <c r="E1" s="1"/>
      <c r="F1" s="1"/>
      <c r="G1" s="1"/>
      <c r="H1" s="1"/>
      <c r="I1" s="1"/>
      <c r="J1" s="1"/>
      <c r="K1" s="1"/>
      <c r="L1" s="457"/>
      <c r="M1" s="1"/>
      <c r="O1" s="1"/>
      <c r="P1" s="1"/>
      <c r="Q1" s="16"/>
    </row>
    <row r="2" spans="1:18" ht="15" x14ac:dyDescent="0.25">
      <c r="A2" s="1"/>
      <c r="B2" s="3"/>
      <c r="C2" s="4"/>
      <c r="D2" s="4"/>
      <c r="E2" s="4"/>
      <c r="F2" s="4"/>
      <c r="G2" s="4"/>
      <c r="H2" s="4"/>
      <c r="I2" s="4"/>
      <c r="J2" s="4"/>
      <c r="K2" s="4"/>
      <c r="L2" s="458"/>
      <c r="M2" s="5"/>
      <c r="O2" s="1"/>
      <c r="P2" s="1"/>
      <c r="Q2" s="16"/>
    </row>
    <row r="3" spans="1:18" ht="23.25" thickBot="1" x14ac:dyDescent="0.25">
      <c r="A3" s="1"/>
      <c r="B3" s="6"/>
      <c r="C3" s="639" t="s">
        <v>540</v>
      </c>
      <c r="D3" s="639"/>
      <c r="E3" s="639"/>
      <c r="F3" s="639"/>
      <c r="G3" s="639"/>
      <c r="H3" s="639"/>
      <c r="I3" s="639"/>
      <c r="J3" s="639"/>
      <c r="K3" s="639"/>
      <c r="L3" s="639"/>
      <c r="M3" s="7"/>
      <c r="O3" s="1"/>
      <c r="P3" s="1"/>
      <c r="Q3" s="16"/>
    </row>
    <row r="4" spans="1:18" ht="22.5" x14ac:dyDescent="0.2">
      <c r="A4" s="1"/>
      <c r="B4" s="6"/>
      <c r="C4" s="89" t="s">
        <v>679</v>
      </c>
      <c r="D4" s="90"/>
      <c r="E4" s="90"/>
      <c r="F4" s="91"/>
      <c r="G4" s="91"/>
      <c r="H4" s="92"/>
      <c r="I4" s="92"/>
      <c r="J4" s="92"/>
      <c r="K4" s="93" t="s">
        <v>542</v>
      </c>
      <c r="L4" s="463">
        <f>Total_Liability</f>
        <v>3235.6385328442129</v>
      </c>
      <c r="M4" s="7"/>
      <c r="O4" s="1"/>
      <c r="P4" s="1"/>
      <c r="Q4" s="1"/>
    </row>
    <row r="5" spans="1:18" s="74" customFormat="1" ht="12.75" customHeight="1" x14ac:dyDescent="0.2">
      <c r="A5" s="102"/>
      <c r="B5" s="218"/>
      <c r="C5" s="96"/>
      <c r="D5" s="97"/>
      <c r="E5" s="97"/>
      <c r="F5" s="98"/>
      <c r="G5" s="98"/>
      <c r="H5" s="99"/>
      <c r="I5" s="99"/>
      <c r="J5" s="99"/>
      <c r="K5" s="100" t="s">
        <v>543</v>
      </c>
      <c r="L5" s="464">
        <f>J63</f>
        <v>0</v>
      </c>
      <c r="M5" s="162"/>
      <c r="N5" s="102"/>
      <c r="O5" s="102"/>
      <c r="P5" s="102"/>
      <c r="Q5" s="102"/>
      <c r="R5" s="102"/>
    </row>
    <row r="6" spans="1:18" ht="12.75" customHeight="1" x14ac:dyDescent="0.25">
      <c r="A6" s="1"/>
      <c r="B6" s="6"/>
      <c r="C6" s="105"/>
      <c r="D6" s="106"/>
      <c r="E6" s="106"/>
      <c r="G6" s="107"/>
      <c r="H6" s="107"/>
      <c r="J6" s="108"/>
      <c r="K6" s="1"/>
      <c r="L6" s="457"/>
      <c r="M6" s="7"/>
      <c r="O6" s="1"/>
      <c r="P6" s="1"/>
      <c r="Q6" s="1"/>
    </row>
    <row r="7" spans="1:18" ht="12.75" customHeight="1" thickBot="1" x14ac:dyDescent="0.25">
      <c r="A7" s="1"/>
      <c r="B7" s="6"/>
      <c r="C7" s="112" t="s">
        <v>544</v>
      </c>
      <c r="D7" s="97"/>
      <c r="E7" s="97"/>
      <c r="F7" s="112" t="s">
        <v>661</v>
      </c>
      <c r="G7" s="98"/>
      <c r="H7" s="107"/>
      <c r="I7" s="1"/>
      <c r="J7" s="1"/>
      <c r="K7" s="1"/>
      <c r="L7" s="465" t="s">
        <v>545</v>
      </c>
      <c r="M7" s="7"/>
      <c r="O7" s="1"/>
      <c r="P7" s="1"/>
      <c r="Q7" s="1"/>
    </row>
    <row r="8" spans="1:18" ht="12.75" customHeight="1" x14ac:dyDescent="0.2">
      <c r="A8" s="1"/>
      <c r="B8" s="6"/>
      <c r="C8" s="679"/>
      <c r="D8" s="680"/>
      <c r="E8" s="114"/>
      <c r="F8" s="342" t="s">
        <v>662</v>
      </c>
      <c r="G8" s="718" t="s">
        <v>663</v>
      </c>
      <c r="H8" s="719"/>
      <c r="I8" s="344" t="s">
        <v>664</v>
      </c>
      <c r="J8" s="343" t="s">
        <v>665</v>
      </c>
      <c r="K8" s="345" t="s">
        <v>666</v>
      </c>
      <c r="L8" s="466" t="s">
        <v>546</v>
      </c>
      <c r="M8" s="7"/>
      <c r="O8" s="1"/>
      <c r="P8" s="1"/>
      <c r="Q8" s="1"/>
    </row>
    <row r="9" spans="1:18" ht="12.75" customHeight="1" x14ac:dyDescent="0.2">
      <c r="A9" s="1"/>
      <c r="B9" s="6"/>
      <c r="C9" s="681"/>
      <c r="D9" s="682"/>
      <c r="E9" s="114"/>
      <c r="F9" s="346"/>
      <c r="G9" s="720"/>
      <c r="H9" s="721"/>
      <c r="I9" s="347"/>
      <c r="J9" s="347"/>
      <c r="K9" s="348"/>
      <c r="L9" s="467" t="s">
        <v>547</v>
      </c>
      <c r="M9" s="7"/>
      <c r="O9" s="1"/>
      <c r="P9" s="1"/>
      <c r="Q9" s="1"/>
    </row>
    <row r="10" spans="1:18" ht="12.75" customHeight="1" x14ac:dyDescent="0.2">
      <c r="A10" s="1"/>
      <c r="B10" s="6"/>
      <c r="C10" s="681"/>
      <c r="D10" s="682"/>
      <c r="E10" s="114"/>
      <c r="F10" s="346"/>
      <c r="G10" s="722"/>
      <c r="H10" s="723"/>
      <c r="I10" s="347"/>
      <c r="J10" s="347"/>
      <c r="K10" s="348"/>
      <c r="L10" s="468" t="s">
        <v>548</v>
      </c>
      <c r="M10" s="7"/>
      <c r="O10" s="1"/>
      <c r="P10" s="1"/>
      <c r="Q10" s="1"/>
    </row>
    <row r="11" spans="1:18" ht="12.75" customHeight="1" x14ac:dyDescent="0.2">
      <c r="A11" s="1"/>
      <c r="B11" s="6"/>
      <c r="C11" s="681"/>
      <c r="D11" s="682"/>
      <c r="E11" s="114"/>
      <c r="F11" s="346"/>
      <c r="G11" s="722"/>
      <c r="H11" s="723"/>
      <c r="I11" s="347"/>
      <c r="J11" s="347"/>
      <c r="K11" s="348"/>
      <c r="L11" s="469" t="s">
        <v>549</v>
      </c>
      <c r="M11" s="7"/>
      <c r="O11" s="1"/>
      <c r="P11" s="1"/>
      <c r="Q11" s="1"/>
    </row>
    <row r="12" spans="1:18" ht="12.75" customHeight="1" x14ac:dyDescent="0.2">
      <c r="A12" s="1"/>
      <c r="B12" s="6"/>
      <c r="C12" s="681"/>
      <c r="D12" s="682"/>
      <c r="E12" s="97"/>
      <c r="F12" s="346"/>
      <c r="G12" s="722"/>
      <c r="H12" s="723"/>
      <c r="I12" s="347"/>
      <c r="J12" s="347"/>
      <c r="K12" s="348"/>
      <c r="L12" s="488"/>
      <c r="M12" s="7"/>
      <c r="O12" s="1"/>
      <c r="P12" s="1"/>
      <c r="Q12" s="1"/>
    </row>
    <row r="13" spans="1:18" ht="12.75" customHeight="1" x14ac:dyDescent="0.2">
      <c r="A13" s="107"/>
      <c r="B13" s="117"/>
      <c r="C13" s="681"/>
      <c r="D13" s="682"/>
      <c r="E13" s="1"/>
      <c r="F13" s="346"/>
      <c r="G13" s="721"/>
      <c r="H13" s="721"/>
      <c r="I13" s="347"/>
      <c r="J13" s="347"/>
      <c r="K13" s="348"/>
      <c r="L13" s="470"/>
      <c r="M13" s="120"/>
      <c r="N13" s="102"/>
      <c r="O13" s="107"/>
      <c r="P13" s="349"/>
      <c r="Q13" s="107"/>
    </row>
    <row r="14" spans="1:18" ht="12.75" customHeight="1" x14ac:dyDescent="0.2">
      <c r="A14" s="107"/>
      <c r="B14" s="117"/>
      <c r="C14" s="681"/>
      <c r="D14" s="682"/>
      <c r="E14" s="1"/>
      <c r="F14" s="346"/>
      <c r="G14" s="721"/>
      <c r="H14" s="721"/>
      <c r="I14" s="347"/>
      <c r="J14" s="347"/>
      <c r="K14" s="348"/>
      <c r="L14" s="470"/>
      <c r="M14" s="120"/>
      <c r="N14" s="102"/>
      <c r="O14" s="107"/>
      <c r="P14" s="349"/>
      <c r="Q14" s="107"/>
    </row>
    <row r="15" spans="1:18" ht="12.75" customHeight="1" x14ac:dyDescent="0.2">
      <c r="A15" s="107"/>
      <c r="B15" s="117"/>
      <c r="C15" s="681"/>
      <c r="D15" s="682"/>
      <c r="E15" s="1"/>
      <c r="F15" s="346"/>
      <c r="G15" s="721"/>
      <c r="H15" s="721"/>
      <c r="I15" s="347"/>
      <c r="J15" s="347"/>
      <c r="K15" s="348"/>
      <c r="L15" s="470"/>
      <c r="M15" s="120"/>
      <c r="N15" s="102"/>
      <c r="O15" s="107"/>
      <c r="P15" s="349"/>
      <c r="Q15" s="107"/>
    </row>
    <row r="16" spans="1:18" ht="12.75" customHeight="1" x14ac:dyDescent="0.2">
      <c r="A16" s="107"/>
      <c r="B16" s="117"/>
      <c r="C16" s="681"/>
      <c r="D16" s="682"/>
      <c r="E16" s="1"/>
      <c r="F16" s="346"/>
      <c r="G16" s="721"/>
      <c r="H16" s="721"/>
      <c r="I16" s="347"/>
      <c r="J16" s="347"/>
      <c r="K16" s="348"/>
      <c r="L16" s="470"/>
      <c r="M16" s="120"/>
      <c r="N16" s="102"/>
      <c r="O16" s="107"/>
      <c r="P16" s="349"/>
      <c r="Q16" s="107"/>
    </row>
    <row r="17" spans="1:17" ht="12.75" customHeight="1" thickBot="1" x14ac:dyDescent="0.25">
      <c r="A17" s="107"/>
      <c r="B17" s="117"/>
      <c r="C17" s="683"/>
      <c r="D17" s="684"/>
      <c r="E17" s="1"/>
      <c r="F17" s="350"/>
      <c r="G17" s="724"/>
      <c r="H17" s="724"/>
      <c r="I17" s="351"/>
      <c r="J17" s="351"/>
      <c r="K17" s="352"/>
      <c r="L17" s="470"/>
      <c r="M17" s="120"/>
      <c r="N17" s="102"/>
      <c r="O17" s="107"/>
      <c r="P17" s="349"/>
      <c r="Q17" s="107"/>
    </row>
    <row r="18" spans="1:17" ht="12.75" customHeight="1" thickBot="1" x14ac:dyDescent="0.25">
      <c r="A18" s="1"/>
      <c r="B18" s="6"/>
      <c r="C18" s="272"/>
      <c r="D18" s="353"/>
      <c r="E18" s="354"/>
      <c r="F18" s="716"/>
      <c r="G18" s="716"/>
      <c r="H18" s="98"/>
      <c r="I18" s="98"/>
      <c r="J18" s="115"/>
      <c r="K18" s="99"/>
      <c r="L18" s="488"/>
      <c r="M18" s="7"/>
      <c r="O18" s="1"/>
      <c r="P18" s="1"/>
      <c r="Q18" s="16"/>
    </row>
    <row r="19" spans="1:17" ht="23.25" thickBot="1" x14ac:dyDescent="0.25">
      <c r="A19" s="1"/>
      <c r="B19" s="6"/>
      <c r="C19" s="255" t="s">
        <v>550</v>
      </c>
      <c r="D19" s="255" t="s">
        <v>551</v>
      </c>
      <c r="E19" s="256" t="s">
        <v>552</v>
      </c>
      <c r="F19" s="255" t="s">
        <v>553</v>
      </c>
      <c r="G19" s="255" t="s">
        <v>32</v>
      </c>
      <c r="H19" s="257" t="s">
        <v>554</v>
      </c>
      <c r="I19" s="257" t="s">
        <v>555</v>
      </c>
      <c r="J19" s="129" t="s">
        <v>556</v>
      </c>
      <c r="K19" s="129" t="s">
        <v>557</v>
      </c>
      <c r="L19" s="498" t="s">
        <v>558</v>
      </c>
      <c r="M19" s="7"/>
      <c r="O19" s="129" t="s">
        <v>559</v>
      </c>
      <c r="P19" s="129" t="s">
        <v>560</v>
      </c>
      <c r="Q19" s="129" t="s">
        <v>561</v>
      </c>
    </row>
    <row r="20" spans="1:17" ht="33.75" x14ac:dyDescent="0.2">
      <c r="A20" s="1"/>
      <c r="B20" s="6"/>
      <c r="C20" s="613" t="s">
        <v>667</v>
      </c>
      <c r="D20" s="225" t="str">
        <f>VLOOKUP($P20,TOV!$A$4:$E$65536,2,FALSE)</f>
        <v>Drill and blast a vertical face to achieve a minimum batter angle of 33 degrees, where blasts &lt; 3000 t, face height is typically &lt; 10m.</v>
      </c>
      <c r="E20" s="210" t="s">
        <v>515</v>
      </c>
      <c r="F20" s="226"/>
      <c r="G20" s="133" t="s">
        <v>82</v>
      </c>
      <c r="H20" s="212">
        <f>VLOOKUP($P20,TOV!$A$4:$E$65536,4,FALSE)</f>
        <v>4.0877256193088307</v>
      </c>
      <c r="I20" s="135"/>
      <c r="J20" s="228">
        <f>IF($E20="Y",IF(I20=0,F20*H20,F20*I20),"")</f>
        <v>0</v>
      </c>
      <c r="K20" s="229"/>
      <c r="L20" s="478" t="s">
        <v>668</v>
      </c>
      <c r="M20" s="7"/>
      <c r="O20" s="138">
        <f t="shared" ref="O20:O60" si="0">IF(I20="",0,1)</f>
        <v>0</v>
      </c>
      <c r="P20" s="139" t="s">
        <v>452</v>
      </c>
      <c r="Q20" s="140"/>
    </row>
    <row r="21" spans="1:17" ht="33.75" x14ac:dyDescent="0.2">
      <c r="A21" s="1"/>
      <c r="B21" s="6"/>
      <c r="C21" s="614"/>
      <c r="D21" s="180" t="str">
        <f>VLOOKUP($P21,TOV!$A$4:$E$65536,2,FALSE)</f>
        <v>Drill and blast a vertical face to achieve a minimum batter angle of 33 degrees, where blasts &gt; 3000 t, face height is typically &gt; 10m.</v>
      </c>
      <c r="E21" s="148" t="s">
        <v>515</v>
      </c>
      <c r="F21" s="181"/>
      <c r="G21" s="189" t="s">
        <v>82</v>
      </c>
      <c r="H21" s="156">
        <f>VLOOKUP($P21,TOV!$A$4:$E$65536,4,FALSE)</f>
        <v>2.8614079335161815</v>
      </c>
      <c r="I21" s="163"/>
      <c r="J21" s="136">
        <f>IF($E21="Y",IF(I21=0,F21*H21,F21*I21),"")</f>
        <v>0</v>
      </c>
      <c r="K21" s="137"/>
      <c r="L21" s="474" t="s">
        <v>668</v>
      </c>
      <c r="M21" s="7"/>
      <c r="O21" s="151">
        <f>IF(I21="",0,1)</f>
        <v>0</v>
      </c>
      <c r="P21" s="152" t="s">
        <v>454</v>
      </c>
      <c r="Q21" s="153"/>
    </row>
    <row r="22" spans="1:17" ht="12.75" customHeight="1" x14ac:dyDescent="0.2">
      <c r="A22" s="1"/>
      <c r="B22" s="6"/>
      <c r="C22" s="717"/>
      <c r="D22" s="621" t="str">
        <f>VLOOKUP($P22,TOV!$A$4:$E$65536,2,FALSE)</f>
        <v>Major bulk pushing (Sand Batter) to achieve grades nominated in the approval/permit (i.e. &lt; 18o)</v>
      </c>
      <c r="E22" s="623" t="s">
        <v>515</v>
      </c>
      <c r="F22" s="625"/>
      <c r="G22" s="627" t="s">
        <v>82</v>
      </c>
      <c r="H22" s="629" t="str">
        <f>VLOOKUP($P22,TOV!$A$4:$E$65536,4,FALSE)</f>
        <v>Select from List</v>
      </c>
      <c r="I22" s="659"/>
      <c r="J22" s="633" t="str">
        <f>IF($E22="Y",IF(I22=0,IF(H22="Select From List","",F22*H22),F22*I22),"")</f>
        <v/>
      </c>
      <c r="K22" s="137" t="s">
        <v>529</v>
      </c>
      <c r="L22" s="635" t="s">
        <v>669</v>
      </c>
      <c r="M22" s="590"/>
      <c r="N22" s="591"/>
      <c r="O22" s="592">
        <f t="shared" si="0"/>
        <v>0</v>
      </c>
      <c r="P22" s="594" t="str">
        <f>IF(Q22=1,"X221",IF(Q22=2,"X222",IF(Q22=3,"X223")))</f>
        <v>X221</v>
      </c>
      <c r="Q22" s="574">
        <f>VLOOKUP(K22,Select_Push_Distance_Sand_Index,2,FALSE)</f>
        <v>1</v>
      </c>
    </row>
    <row r="23" spans="1:17" ht="28.5" customHeight="1" x14ac:dyDescent="0.2">
      <c r="A23" s="1"/>
      <c r="B23" s="6"/>
      <c r="C23" s="717"/>
      <c r="D23" s="621"/>
      <c r="E23" s="623"/>
      <c r="F23" s="625"/>
      <c r="G23" s="627"/>
      <c r="H23" s="629"/>
      <c r="I23" s="659"/>
      <c r="J23" s="633"/>
      <c r="K23" s="137"/>
      <c r="L23" s="635"/>
      <c r="M23" s="590"/>
      <c r="N23" s="591"/>
      <c r="O23" s="593"/>
      <c r="P23" s="595"/>
      <c r="Q23" s="575"/>
    </row>
    <row r="24" spans="1:17" ht="12.75" customHeight="1" x14ac:dyDescent="0.2">
      <c r="A24" s="1"/>
      <c r="B24" s="6"/>
      <c r="C24" s="717"/>
      <c r="D24" s="597" t="str">
        <f>VLOOKUP($P24,TOV!$A$4:$E$65536,2,FALSE)</f>
        <v>Major bulk pushing (Clay Batter) to achieve grades nominated in the approval/permit (i.e. &lt; 18o)</v>
      </c>
      <c r="E24" s="623" t="s">
        <v>515</v>
      </c>
      <c r="F24" s="625"/>
      <c r="G24" s="627" t="s">
        <v>82</v>
      </c>
      <c r="H24" s="629" t="str">
        <f>VLOOKUP($P24,TOV!$A$4:$E$65536,4,FALSE)</f>
        <v>Select from List</v>
      </c>
      <c r="I24" s="659"/>
      <c r="J24" s="633" t="str">
        <f>IF($E24="Y",IF(I24=0,IF(H24="Select From List","",F24*H24),F24*I24),"")</f>
        <v/>
      </c>
      <c r="K24" s="137" t="s">
        <v>533</v>
      </c>
      <c r="L24" s="635" t="s">
        <v>669</v>
      </c>
      <c r="M24" s="590"/>
      <c r="N24" s="591"/>
      <c r="O24" s="592">
        <f>IF(I24="",0,1)</f>
        <v>0</v>
      </c>
      <c r="P24" s="594" t="str">
        <f>IF(Q24=1,"X224",IF(Q24=2,"X225",IF(Q24=3,"X226")))</f>
        <v>X224</v>
      </c>
      <c r="Q24" s="574">
        <f>VLOOKUP(K24,Select_Push_Distance_Clay_Index,2,FALSE)</f>
        <v>1</v>
      </c>
    </row>
    <row r="25" spans="1:17" ht="28.5" customHeight="1" x14ac:dyDescent="0.2">
      <c r="A25" s="1"/>
      <c r="B25" s="6"/>
      <c r="C25" s="717"/>
      <c r="D25" s="598"/>
      <c r="E25" s="623"/>
      <c r="F25" s="625"/>
      <c r="G25" s="627"/>
      <c r="H25" s="629"/>
      <c r="I25" s="659"/>
      <c r="J25" s="633"/>
      <c r="K25" s="137"/>
      <c r="L25" s="635"/>
      <c r="M25" s="590"/>
      <c r="N25" s="591"/>
      <c r="O25" s="593"/>
      <c r="P25" s="595"/>
      <c r="Q25" s="575"/>
    </row>
    <row r="26" spans="1:17" ht="12.75" customHeight="1" x14ac:dyDescent="0.2">
      <c r="A26" s="1"/>
      <c r="B26" s="6"/>
      <c r="C26" s="717"/>
      <c r="D26" s="621" t="str">
        <f>VLOOKUP($P26,TOV!$A$4:$E$65536,2,FALSE)</f>
        <v>Major bulk pushing (Stiff Clay or Soft Rock with ripping) to achieve grades nominated in the approval/permit (i.e. &lt; 18o)</v>
      </c>
      <c r="E26" s="623" t="s">
        <v>515</v>
      </c>
      <c r="F26" s="625"/>
      <c r="G26" s="627" t="s">
        <v>82</v>
      </c>
      <c r="H26" s="629" t="str">
        <f>VLOOKUP($P26,TOV!$A$4:$E$65536,4,FALSE)</f>
        <v>Select from List</v>
      </c>
      <c r="I26" s="659"/>
      <c r="J26" s="633" t="str">
        <f>IF($E26="Y",IF(I26=0,IF(H26="Select From List","",F26*H26),F26*I26),"")</f>
        <v/>
      </c>
      <c r="K26" s="137" t="s">
        <v>534</v>
      </c>
      <c r="L26" s="635" t="s">
        <v>669</v>
      </c>
      <c r="M26" s="590"/>
      <c r="N26" s="591"/>
      <c r="O26" s="592">
        <f>IF(I26="",0,1)</f>
        <v>0</v>
      </c>
      <c r="P26" s="594" t="str">
        <f>IF(Q26=1,"X227",IF(Q26=2,"X228",IF(Q26=3,"X229")))</f>
        <v>X227</v>
      </c>
      <c r="Q26" s="574">
        <f>VLOOKUP(K26,Select_Push_Distance_Stiff_Clay_Index,2,FALSE)</f>
        <v>1</v>
      </c>
    </row>
    <row r="27" spans="1:17" ht="28.5" customHeight="1" x14ac:dyDescent="0.2">
      <c r="A27" s="1"/>
      <c r="B27" s="6"/>
      <c r="C27" s="717"/>
      <c r="D27" s="621"/>
      <c r="E27" s="623"/>
      <c r="F27" s="625"/>
      <c r="G27" s="627"/>
      <c r="H27" s="629"/>
      <c r="I27" s="659"/>
      <c r="J27" s="633"/>
      <c r="K27" s="137"/>
      <c r="L27" s="635"/>
      <c r="M27" s="590"/>
      <c r="N27" s="591"/>
      <c r="O27" s="593"/>
      <c r="P27" s="595"/>
      <c r="Q27" s="575"/>
    </row>
    <row r="28" spans="1:17" ht="28.5" customHeight="1" x14ac:dyDescent="0.2">
      <c r="A28" s="1"/>
      <c r="B28" s="6"/>
      <c r="C28" s="717"/>
      <c r="D28" s="130" t="str">
        <f>VLOOKUP($P28,TOV!$A$4:$E$65536,2,FALSE)</f>
        <v>Purchase of clean fill material where there is a shortage on site</v>
      </c>
      <c r="E28" s="148" t="s">
        <v>515</v>
      </c>
      <c r="F28" s="155"/>
      <c r="G28" s="355" t="s">
        <v>38</v>
      </c>
      <c r="H28" s="134">
        <f>VLOOKUP($P28,TOV!$A$4:$E$65536,4,FALSE)</f>
        <v>6.5283556799999998</v>
      </c>
      <c r="I28" s="356"/>
      <c r="J28" s="136">
        <f t="shared" ref="J28" si="1">IF($E28="Y",IF(I28=0,F28*H28,F28*I28),"")</f>
        <v>0</v>
      </c>
      <c r="K28" s="157"/>
      <c r="L28" s="474" t="s">
        <v>670</v>
      </c>
      <c r="M28" s="162"/>
      <c r="N28" s="158"/>
      <c r="O28" s="151">
        <f t="shared" ref="O28" si="2">IF(I28="",0,1)</f>
        <v>0</v>
      </c>
      <c r="P28" s="357" t="s">
        <v>671</v>
      </c>
      <c r="Q28" s="224"/>
    </row>
    <row r="29" spans="1:17" ht="33.75" x14ac:dyDescent="0.2">
      <c r="A29" s="1"/>
      <c r="B29" s="6"/>
      <c r="C29" s="717"/>
      <c r="D29" s="180" t="str">
        <f>VLOOKUP($P29,TOV!$A$4:$E$65536,2,FALSE)</f>
        <v>Construct safety berm, catch bench and barrier around the pit perimeter (required where final pit will include steep faces).</v>
      </c>
      <c r="E29" s="148" t="s">
        <v>515</v>
      </c>
      <c r="F29" s="181"/>
      <c r="G29" s="189" t="s">
        <v>101</v>
      </c>
      <c r="H29" s="156">
        <f>VLOOKUP($P29,TOV!$A$4:$E$65536,4,FALSE)</f>
        <v>58.761055777564444</v>
      </c>
      <c r="I29" s="163"/>
      <c r="J29" s="136">
        <f>IF($E29="Y",IF(I29=0,F29*H29,F29*I29),"")</f>
        <v>0</v>
      </c>
      <c r="K29" s="137"/>
      <c r="L29" s="474" t="s">
        <v>672</v>
      </c>
      <c r="M29" s="7"/>
      <c r="O29" s="151">
        <f t="shared" si="0"/>
        <v>0</v>
      </c>
      <c r="P29" s="152" t="s">
        <v>180</v>
      </c>
      <c r="Q29" s="153"/>
    </row>
    <row r="30" spans="1:17" ht="33.75" x14ac:dyDescent="0.2">
      <c r="A30" s="1"/>
      <c r="B30" s="6"/>
      <c r="C30" s="717"/>
      <c r="D30" s="180" t="str">
        <f>VLOOKUP($P30,TOV!$A$4:$E$65536,2,FALSE)</f>
        <v>Erect a 6' chain mesh security fence around the top face where the final pit will include steep faces</v>
      </c>
      <c r="E30" s="148" t="s">
        <v>515</v>
      </c>
      <c r="F30" s="181"/>
      <c r="G30" s="149" t="s">
        <v>101</v>
      </c>
      <c r="H30" s="156">
        <f>VLOOKUP($P30,TOV!$A$4:$E$65536,4,FALSE)</f>
        <v>51.096570241360382</v>
      </c>
      <c r="I30" s="163"/>
      <c r="J30" s="136">
        <f>IF($E30="Y",IF(I30=0,F30*H30,F30*I30),"")</f>
        <v>0</v>
      </c>
      <c r="K30" s="137"/>
      <c r="L30" s="474" t="s">
        <v>673</v>
      </c>
      <c r="M30" s="7"/>
      <c r="O30" s="151">
        <f t="shared" si="0"/>
        <v>0</v>
      </c>
      <c r="P30" s="152" t="s">
        <v>237</v>
      </c>
      <c r="Q30" s="153"/>
    </row>
    <row r="31" spans="1:17" ht="12.75" customHeight="1" x14ac:dyDescent="0.2">
      <c r="A31" s="1"/>
      <c r="B31" s="6"/>
      <c r="C31" s="717"/>
      <c r="D31" s="621" t="str">
        <f>VLOOKUP($P31,TOV!$A$4:$E$65536,2,FALSE)</f>
        <v>Backfilling faces and benches as specified in the work plan</v>
      </c>
      <c r="E31" s="623" t="s">
        <v>515</v>
      </c>
      <c r="F31" s="625"/>
      <c r="G31" s="627" t="s">
        <v>82</v>
      </c>
      <c r="H31" s="629" t="str">
        <f>VLOOKUP($P31,TOV!$A$4:$E$65536,4,FALSE)</f>
        <v>Select from List</v>
      </c>
      <c r="I31" s="659"/>
      <c r="J31" s="633" t="str">
        <f>IF($E31="Y",IF(I31=0,IF(H31="Select From List","",F31*H31),F31*I31),"")</f>
        <v/>
      </c>
      <c r="K31" s="137" t="s">
        <v>514</v>
      </c>
      <c r="L31" s="635" t="s">
        <v>674</v>
      </c>
      <c r="M31" s="590"/>
      <c r="N31" s="591"/>
      <c r="O31" s="592">
        <f t="shared" si="0"/>
        <v>0</v>
      </c>
      <c r="P31" s="594" t="str">
        <f>IF(Q31=1,"X074",IF(Q31=2,"X075",IF(Q31=3,"X076",IF(Q31=4,"X077",IF(Q31=5,"X078","X074")))))</f>
        <v>X074</v>
      </c>
      <c r="Q31" s="574">
        <f>VLOOKUP(K31,Select_Haul_Distance_Index,2,FALSE)</f>
        <v>1</v>
      </c>
    </row>
    <row r="32" spans="1:17" ht="28.5" customHeight="1" x14ac:dyDescent="0.2">
      <c r="A32" s="1"/>
      <c r="B32" s="6"/>
      <c r="C32" s="717"/>
      <c r="D32" s="621"/>
      <c r="E32" s="623"/>
      <c r="F32" s="625"/>
      <c r="G32" s="627"/>
      <c r="H32" s="629"/>
      <c r="I32" s="659"/>
      <c r="J32" s="633"/>
      <c r="K32" s="137"/>
      <c r="L32" s="635"/>
      <c r="M32" s="590"/>
      <c r="N32" s="591"/>
      <c r="O32" s="593"/>
      <c r="P32" s="595"/>
      <c r="Q32" s="575"/>
    </row>
    <row r="33" spans="1:41" ht="27" customHeight="1" x14ac:dyDescent="0.2">
      <c r="A33" s="1"/>
      <c r="B33" s="6"/>
      <c r="C33" s="717"/>
      <c r="D33" s="180" t="str">
        <f>VLOOKUP($P33,TOV!$A$4:$E$65536,2,FALSE)</f>
        <v>Engineering treatment to stabilise the faces on the benches (compaction of the backfill)</v>
      </c>
      <c r="E33" s="148" t="s">
        <v>515</v>
      </c>
      <c r="F33" s="181"/>
      <c r="G33" s="149" t="s">
        <v>82</v>
      </c>
      <c r="H33" s="156">
        <f>VLOOKUP($P33,TOV!$A$4:$E$65536,4,FALSE)</f>
        <v>1.2774142560340096</v>
      </c>
      <c r="I33" s="163"/>
      <c r="J33" s="136">
        <f>IF($E33="Y",IF(I33=0,F33*H33,F33*I33),"")</f>
        <v>0</v>
      </c>
      <c r="K33" s="137"/>
      <c r="L33" s="474" t="s">
        <v>675</v>
      </c>
      <c r="M33" s="7"/>
      <c r="O33" s="151">
        <f t="shared" si="0"/>
        <v>0</v>
      </c>
      <c r="P33" s="152" t="s">
        <v>231</v>
      </c>
      <c r="Q33" s="153"/>
    </row>
    <row r="34" spans="1:41" ht="27" customHeight="1" thickBot="1" x14ac:dyDescent="0.25">
      <c r="A34" s="102"/>
      <c r="B34" s="218"/>
      <c r="C34" s="717"/>
      <c r="D34" s="191" t="str">
        <f>VLOOKUP($P34,TOV!$A$4:$E$65536,2,FALSE)</f>
        <v>Construct a standard stock fence around the site</v>
      </c>
      <c r="E34" s="192" t="s">
        <v>515</v>
      </c>
      <c r="F34" s="193"/>
      <c r="G34" s="194" t="s">
        <v>101</v>
      </c>
      <c r="H34" s="195">
        <f>VLOOKUP($P34,TOV!$A$4:$E$65536,4,FALSE)</f>
        <v>8.1754512386176614</v>
      </c>
      <c r="I34" s="196"/>
      <c r="J34" s="197">
        <f>IF($E34="Y",IF(I34=0,F34*H34,F34*I34),"")</f>
        <v>0</v>
      </c>
      <c r="K34" s="213"/>
      <c r="L34" s="479" t="s">
        <v>608</v>
      </c>
      <c r="M34" s="162"/>
      <c r="N34" s="158"/>
      <c r="O34" s="166">
        <f t="shared" si="0"/>
        <v>0</v>
      </c>
      <c r="P34" s="358" t="s">
        <v>178</v>
      </c>
      <c r="Q34" s="168"/>
    </row>
    <row r="35" spans="1:41" ht="13.5" thickBot="1" x14ac:dyDescent="0.25">
      <c r="A35" s="1"/>
      <c r="B35" s="6"/>
      <c r="C35" s="260"/>
      <c r="D35" s="270"/>
      <c r="E35" s="270"/>
      <c r="F35" s="359" t="s">
        <v>573</v>
      </c>
      <c r="G35" s="360"/>
      <c r="H35" s="361"/>
      <c r="I35" s="361"/>
      <c r="J35" s="362">
        <f>SUM(J20:J34)</f>
        <v>0</v>
      </c>
      <c r="K35" s="363"/>
      <c r="L35" s="477"/>
      <c r="M35" s="7"/>
      <c r="O35" s="649"/>
      <c r="P35" s="650"/>
      <c r="Q35" s="651"/>
    </row>
    <row r="36" spans="1:41" ht="56.25" x14ac:dyDescent="0.2">
      <c r="A36" s="1"/>
      <c r="B36" s="6"/>
      <c r="C36" s="580" t="s">
        <v>616</v>
      </c>
      <c r="D36" s="130" t="str">
        <f>VLOOKUP($P36,TOV!$A$4:$E$65536,2,FALSE)</f>
        <v>Clean small surface water management dams (include all structures) to be retained after mine closure  - make safe and minor earthworks to stabilise the water management structure. ( &lt; 5 ML)</v>
      </c>
      <c r="E36" s="198" t="s">
        <v>515</v>
      </c>
      <c r="F36" s="155"/>
      <c r="G36" s="143" t="s">
        <v>41</v>
      </c>
      <c r="H36" s="134">
        <f>VLOOKUP($P36,TOV!$A$4:$E$65536,4,FALSE)</f>
        <v>2043.8628096544155</v>
      </c>
      <c r="I36" s="144"/>
      <c r="J36" s="199">
        <f>IF($E36="Y",IF(I36=0,F36*H36,F36*I36),"")</f>
        <v>0</v>
      </c>
      <c r="K36" s="157"/>
      <c r="L36" s="480" t="s">
        <v>617</v>
      </c>
      <c r="M36" s="7"/>
      <c r="O36" s="138">
        <f t="shared" si="0"/>
        <v>0</v>
      </c>
      <c r="P36" s="139" t="s">
        <v>174</v>
      </c>
      <c r="Q36" s="140"/>
    </row>
    <row r="37" spans="1:41" ht="22.5" x14ac:dyDescent="0.2">
      <c r="A37" s="1"/>
      <c r="B37" s="6"/>
      <c r="C37" s="580"/>
      <c r="D37" s="230" t="str">
        <f>VLOOKUP($P37,TOV!$A$4:$E$65536,2,FALSE)</f>
        <v>Pumping costs for water, includes hire of pumps, labour to manage pumping and fuel</v>
      </c>
      <c r="E37" s="148" t="s">
        <v>515</v>
      </c>
      <c r="F37" s="181"/>
      <c r="G37" s="149" t="s">
        <v>491</v>
      </c>
      <c r="H37" s="156">
        <f>VLOOKUP($P37,TOV!$A$4:$E$65536,4,FALSE)</f>
        <v>85.313738999999984</v>
      </c>
      <c r="I37" s="163"/>
      <c r="J37" s="136">
        <f>IF($E37="Y",IF(I37=0,F37*H37,F37*I37),"")</f>
        <v>0</v>
      </c>
      <c r="K37" s="137"/>
      <c r="L37" s="474" t="s">
        <v>618</v>
      </c>
      <c r="M37" s="7"/>
      <c r="O37" s="159">
        <f>IF(I37="",0,1)</f>
        <v>0</v>
      </c>
      <c r="P37" s="160" t="s">
        <v>489</v>
      </c>
      <c r="Q37" s="147"/>
    </row>
    <row r="38" spans="1:41" ht="22.5" x14ac:dyDescent="0.2">
      <c r="A38" s="1"/>
      <c r="B38" s="6"/>
      <c r="C38" s="580"/>
      <c r="D38" s="230" t="str">
        <f>VLOOKUP($P38,TOV!$A$4:$E$65536,2,FALSE)</f>
        <v>Removal of plastic pond liners for offsite disposal</v>
      </c>
      <c r="E38" s="148" t="s">
        <v>515</v>
      </c>
      <c r="F38" s="181"/>
      <c r="G38" s="149" t="s">
        <v>47</v>
      </c>
      <c r="H38" s="156">
        <f>VLOOKUP($P38,TOV!$A$4:$E$65536,4,FALSE)</f>
        <v>3227.0849099999996</v>
      </c>
      <c r="I38" s="163"/>
      <c r="J38" s="136">
        <f>IF($E38="Y",IF(I38=0,F38*H38,F38*I38),"")</f>
        <v>0</v>
      </c>
      <c r="K38" s="137"/>
      <c r="L38" s="474" t="s">
        <v>619</v>
      </c>
      <c r="M38" s="7"/>
      <c r="O38" s="159">
        <f>IF(I38="",0,1)</f>
        <v>0</v>
      </c>
      <c r="P38" s="160" t="s">
        <v>487</v>
      </c>
      <c r="Q38" s="147"/>
    </row>
    <row r="39" spans="1:41" ht="27" customHeight="1" thickBot="1" x14ac:dyDescent="0.25">
      <c r="A39" s="107"/>
      <c r="B39" s="117"/>
      <c r="C39" s="580"/>
      <c r="D39" s="232" t="str">
        <f>VLOOKUP($P39,TOV!$A$4:$E$65536,2,FALSE)</f>
        <v>OR Backfill dams and reinstate to natural surface.  (Push only)</v>
      </c>
      <c r="E39" s="184" t="s">
        <v>515</v>
      </c>
      <c r="F39" s="185"/>
      <c r="G39" s="164" t="s">
        <v>38</v>
      </c>
      <c r="H39" s="186">
        <f>VLOOKUP($P39,TOV!$A$4:$E$65536,4,FALSE)</f>
        <v>0.64087223692553696</v>
      </c>
      <c r="I39" s="165"/>
      <c r="J39" s="233">
        <f>IF($E39="Y",IF(I39=0,F39*H39,F39*I39),"")</f>
        <v>0</v>
      </c>
      <c r="K39" s="137"/>
      <c r="L39" s="484" t="s">
        <v>620</v>
      </c>
      <c r="M39" s="231"/>
      <c r="N39" s="102"/>
      <c r="O39" s="159">
        <f t="shared" si="0"/>
        <v>0</v>
      </c>
      <c r="P39" s="160" t="s">
        <v>460</v>
      </c>
      <c r="Q39" s="234"/>
      <c r="R39" s="235"/>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row>
    <row r="40" spans="1:41" ht="13.5" thickBot="1" x14ac:dyDescent="0.25">
      <c r="A40" s="1"/>
      <c r="B40" s="6"/>
      <c r="C40" s="205"/>
      <c r="D40" s="364"/>
      <c r="E40" s="364"/>
      <c r="F40" s="365" t="s">
        <v>573</v>
      </c>
      <c r="G40" s="366"/>
      <c r="H40" s="367"/>
      <c r="I40" s="367"/>
      <c r="J40" s="368">
        <f>SUM(J36:J39)</f>
        <v>0</v>
      </c>
      <c r="K40" s="369"/>
      <c r="L40" s="499"/>
      <c r="M40" s="7"/>
      <c r="O40" s="649"/>
      <c r="P40" s="650"/>
      <c r="Q40" s="651"/>
    </row>
    <row r="41" spans="1:41" ht="33.75" x14ac:dyDescent="0.2">
      <c r="A41" s="1"/>
      <c r="B41" s="6"/>
      <c r="C41" s="614" t="s">
        <v>601</v>
      </c>
      <c r="D41" s="225" t="str">
        <f>VLOOKUP($P41,TOV!$A$4:$E$65536,2,FALSE)</f>
        <v>Shaping or levelling of minor excavations, batters and stockpiles, final trim, rock rake and deep rip</v>
      </c>
      <c r="E41" s="210" t="s">
        <v>515</v>
      </c>
      <c r="F41" s="226"/>
      <c r="G41" s="133" t="s">
        <v>47</v>
      </c>
      <c r="H41" s="212">
        <f>VLOOKUP($P41,TOV!$A$4:$E$65536,4,FALSE)</f>
        <v>1328.5108262753702</v>
      </c>
      <c r="I41" s="135"/>
      <c r="J41" s="228">
        <f t="shared" ref="J41:J56" si="3">IF($E41="Y",IF(I41=0,F41*H41,F41*I41),"")</f>
        <v>0</v>
      </c>
      <c r="K41" s="229"/>
      <c r="L41" s="478" t="s">
        <v>602</v>
      </c>
      <c r="M41" s="7"/>
      <c r="O41" s="138">
        <f t="shared" si="0"/>
        <v>0</v>
      </c>
      <c r="P41" s="139" t="s">
        <v>273</v>
      </c>
      <c r="Q41" s="140"/>
    </row>
    <row r="42" spans="1:41" ht="27" x14ac:dyDescent="0.2">
      <c r="A42" s="1"/>
      <c r="B42" s="6"/>
      <c r="C42" s="614"/>
      <c r="D42" s="180" t="str">
        <f>VLOOKUP($P42,TOV!$A$4:$E$65536,2,FALSE)</f>
        <v>Reshaping of overburden and mullock heaps on the site.</v>
      </c>
      <c r="E42" s="148" t="s">
        <v>515</v>
      </c>
      <c r="F42" s="181"/>
      <c r="G42" s="149" t="s">
        <v>47</v>
      </c>
      <c r="H42" s="156">
        <f>VLOOKUP($P42,TOV!$A$4:$E$65536,4,FALSE)</f>
        <v>3377.5698973102621</v>
      </c>
      <c r="I42" s="163"/>
      <c r="J42" s="136">
        <f>IF($E42="Y",IF(I42=0,F42*H42,F42*I42),"")</f>
        <v>0</v>
      </c>
      <c r="K42" s="137"/>
      <c r="L42" s="474" t="s">
        <v>657</v>
      </c>
      <c r="M42" s="7"/>
      <c r="O42" s="151">
        <f>IF(I42="",0,1)</f>
        <v>0</v>
      </c>
      <c r="P42" s="303" t="s">
        <v>371</v>
      </c>
      <c r="Q42" s="153"/>
    </row>
    <row r="43" spans="1:41" ht="18" x14ac:dyDescent="0.2">
      <c r="A43" s="1"/>
      <c r="B43" s="6"/>
      <c r="C43" s="614"/>
      <c r="D43" s="180" t="str">
        <f>VLOOKUP($P43,TOV!$A$4:$E$65536,2,FALSE)</f>
        <v>Deep Ripping</v>
      </c>
      <c r="E43" s="148" t="s">
        <v>515</v>
      </c>
      <c r="F43" s="181"/>
      <c r="G43" s="149" t="s">
        <v>47</v>
      </c>
      <c r="H43" s="156">
        <f>VLOOKUP($P43,TOV!$A$4:$E$65536,4,FALSE)</f>
        <v>510.96570241360388</v>
      </c>
      <c r="I43" s="163"/>
      <c r="J43" s="136">
        <f>IF($E43="Y",IF(I43=0,F43*H43,F43*I43),"")</f>
        <v>0</v>
      </c>
      <c r="K43" s="137"/>
      <c r="L43" s="474" t="s">
        <v>676</v>
      </c>
      <c r="M43" s="7"/>
      <c r="O43" s="151">
        <f>IF(I43="",0,1)</f>
        <v>0</v>
      </c>
      <c r="P43" s="303" t="s">
        <v>450</v>
      </c>
      <c r="Q43" s="153"/>
    </row>
    <row r="44" spans="1:41" ht="36" x14ac:dyDescent="0.2">
      <c r="A44" s="1"/>
      <c r="B44" s="6"/>
      <c r="C44" s="614"/>
      <c r="D44" s="180" t="str">
        <f>VLOOKUP($P44,TOV!$A$4:$E$65536,2,FALSE)</f>
        <v>Structural water management works, banks, drains, rock lined waterways, sediment dams</v>
      </c>
      <c r="E44" s="148" t="s">
        <v>515</v>
      </c>
      <c r="F44" s="181"/>
      <c r="G44" s="149" t="s">
        <v>47</v>
      </c>
      <c r="H44" s="156">
        <f>VLOOKUP($P44,TOV!$A$4:$E$65536,4,FALSE)</f>
        <v>2043.8628096544155</v>
      </c>
      <c r="I44" s="163"/>
      <c r="J44" s="136">
        <f t="shared" si="3"/>
        <v>0</v>
      </c>
      <c r="K44" s="137"/>
      <c r="L44" s="474" t="s">
        <v>603</v>
      </c>
      <c r="M44" s="7"/>
      <c r="O44" s="151">
        <f t="shared" si="0"/>
        <v>0</v>
      </c>
      <c r="P44" s="152" t="s">
        <v>388</v>
      </c>
      <c r="Q44" s="153"/>
    </row>
    <row r="45" spans="1:41" ht="20.25" x14ac:dyDescent="0.3">
      <c r="A45" s="1"/>
      <c r="B45" s="6"/>
      <c r="C45" s="614"/>
      <c r="D45" s="154" t="str">
        <f>VLOOKUP($P45,TOV!$A$4:$E$65536,2,FALSE)</f>
        <v>Clear and grub existing vegetation</v>
      </c>
      <c r="E45" s="148" t="s">
        <v>515</v>
      </c>
      <c r="F45" s="200"/>
      <c r="G45" s="149" t="s">
        <v>47</v>
      </c>
      <c r="H45" s="201">
        <f>VLOOKUP($P45,TOV!$A$4:$E$65536,4,FALSE)</f>
        <v>3412.5495599999995</v>
      </c>
      <c r="I45" s="220"/>
      <c r="J45" s="136">
        <f t="shared" si="3"/>
        <v>0</v>
      </c>
      <c r="K45" s="157"/>
      <c r="L45" s="483" t="s">
        <v>605</v>
      </c>
      <c r="M45" s="221"/>
      <c r="N45" s="222"/>
      <c r="O45" s="159">
        <f t="shared" si="0"/>
        <v>0</v>
      </c>
      <c r="P45" s="160" t="s">
        <v>606</v>
      </c>
      <c r="Q45" s="153"/>
    </row>
    <row r="46" spans="1:41" ht="22.5" x14ac:dyDescent="0.2">
      <c r="A46" s="1"/>
      <c r="B46" s="6"/>
      <c r="C46" s="614"/>
      <c r="D46" s="180" t="str">
        <f>VLOOKUP($P46,TOV!$A$4:$E$65536,2,FALSE)</f>
        <v>Reshape, deep rip and ameliorate sealed unsealed roads</v>
      </c>
      <c r="E46" s="148" t="s">
        <v>515</v>
      </c>
      <c r="F46" s="181"/>
      <c r="G46" s="149" t="s">
        <v>47</v>
      </c>
      <c r="H46" s="156">
        <f>VLOOKUP($P46,TOV!$A$4:$E$65536,4,FALSE)</f>
        <v>2554.8285120680189</v>
      </c>
      <c r="I46" s="163"/>
      <c r="J46" s="136">
        <f t="shared" si="3"/>
        <v>0</v>
      </c>
      <c r="K46" s="137"/>
      <c r="L46" s="474" t="s">
        <v>647</v>
      </c>
      <c r="M46" s="7"/>
      <c r="O46" s="151">
        <f t="shared" si="0"/>
        <v>0</v>
      </c>
      <c r="P46" s="152" t="s">
        <v>363</v>
      </c>
      <c r="Q46" s="153"/>
    </row>
    <row r="47" spans="1:41" ht="33.75" x14ac:dyDescent="0.2">
      <c r="A47" s="1"/>
      <c r="B47" s="6"/>
      <c r="C47" s="614"/>
      <c r="D47" s="180" t="str">
        <f>VLOOKUP($P47,TOV!$A$4:$E$65536,2,FALSE)</f>
        <v>Maintenance of the rehabilitated areas that are intended to be part of the ongoing closure of the site.</v>
      </c>
      <c r="E47" s="148" t="s">
        <v>515</v>
      </c>
      <c r="F47" s="181"/>
      <c r="G47" s="149" t="s">
        <v>47</v>
      </c>
      <c r="H47" s="156">
        <f>VLOOKUP($P47,TOV!$A$4:$E$65536,4,FALSE)</f>
        <v>664.25541313768508</v>
      </c>
      <c r="I47" s="163"/>
      <c r="J47" s="136">
        <f t="shared" si="3"/>
        <v>0</v>
      </c>
      <c r="K47" s="137"/>
      <c r="L47" s="474" t="s">
        <v>659</v>
      </c>
      <c r="M47" s="7"/>
      <c r="O47" s="151">
        <f t="shared" si="0"/>
        <v>0</v>
      </c>
      <c r="P47" s="152" t="s">
        <v>52</v>
      </c>
      <c r="Q47" s="153"/>
    </row>
    <row r="48" spans="1:41" ht="27" x14ac:dyDescent="0.2">
      <c r="A48" s="1"/>
      <c r="B48" s="6"/>
      <c r="C48" s="614"/>
      <c r="D48" s="180" t="str">
        <f>VLOOKUP($P48,TOV!$A$4:$E$65536,2,FALSE)</f>
        <v>Construct a standard stock fence around the site</v>
      </c>
      <c r="E48" s="148" t="s">
        <v>515</v>
      </c>
      <c r="F48" s="181"/>
      <c r="G48" s="149" t="s">
        <v>101</v>
      </c>
      <c r="H48" s="156">
        <f>VLOOKUP($P48,TOV!$A$4:$E$65536,4,FALSE)</f>
        <v>8.1754512386176614</v>
      </c>
      <c r="I48" s="163"/>
      <c r="J48" s="136">
        <f t="shared" si="3"/>
        <v>0</v>
      </c>
      <c r="K48" s="137"/>
      <c r="L48" s="474" t="s">
        <v>608</v>
      </c>
      <c r="M48" s="7"/>
      <c r="O48" s="151">
        <f t="shared" si="0"/>
        <v>0</v>
      </c>
      <c r="P48" s="152" t="s">
        <v>178</v>
      </c>
      <c r="Q48" s="153"/>
    </row>
    <row r="49" spans="1:18" ht="12.75" customHeight="1" x14ac:dyDescent="0.2">
      <c r="A49" s="1"/>
      <c r="B49" s="6"/>
      <c r="C49" s="614"/>
      <c r="D49" s="621" t="str">
        <f>VLOOKUP($P49,TOV!$A$4:$E$65536,2,FALSE)</f>
        <v>Source (where availiable onsite), cart, spread and lightly rip topsoil</v>
      </c>
      <c r="E49" s="623" t="s">
        <v>515</v>
      </c>
      <c r="F49" s="625"/>
      <c r="G49" s="627" t="s">
        <v>82</v>
      </c>
      <c r="H49" s="629" t="str">
        <f>VLOOKUP($P49,TOV!$A$4:$E$65536,4,FALSE)</f>
        <v>Select from List</v>
      </c>
      <c r="I49" s="659"/>
      <c r="J49" s="633" t="str">
        <f>IF($E49="Y",IF(I49=0,IF(H49="Select From List","",F49*H49),F49*I49),"")</f>
        <v/>
      </c>
      <c r="K49" s="137" t="s">
        <v>514</v>
      </c>
      <c r="L49" s="635" t="s">
        <v>609</v>
      </c>
      <c r="M49" s="590"/>
      <c r="N49" s="591"/>
      <c r="O49" s="714">
        <f t="shared" si="0"/>
        <v>0</v>
      </c>
      <c r="P49" s="715" t="str">
        <f>IF(Q49=1,"X044",IF(Q49=2,"X045",IF(Q49=3,"X046",IF(Q49=4,"x047",IF(Q49=5,"X048","X044")))))</f>
        <v>X044</v>
      </c>
      <c r="Q49" s="574">
        <f>VLOOKUP(K49,Select_Haul_Distance_Index,2,FALSE)</f>
        <v>1</v>
      </c>
    </row>
    <row r="50" spans="1:18" ht="27" customHeight="1" x14ac:dyDescent="0.2">
      <c r="A50" s="1"/>
      <c r="B50" s="6"/>
      <c r="C50" s="614"/>
      <c r="D50" s="621"/>
      <c r="E50" s="623"/>
      <c r="F50" s="625"/>
      <c r="G50" s="627"/>
      <c r="H50" s="629"/>
      <c r="I50" s="659"/>
      <c r="J50" s="633"/>
      <c r="K50" s="137"/>
      <c r="L50" s="635"/>
      <c r="M50" s="590"/>
      <c r="N50" s="591"/>
      <c r="O50" s="714"/>
      <c r="P50" s="715"/>
      <c r="Q50" s="575"/>
    </row>
    <row r="51" spans="1:18" s="1" customFormat="1" ht="33.75" x14ac:dyDescent="0.2">
      <c r="A51" s="102"/>
      <c r="B51" s="218"/>
      <c r="C51" s="614"/>
      <c r="D51" s="154" t="str">
        <f>VLOOKUP($P51,TOV!$A$4:$E$65536,2,FALSE)</f>
        <v>Topsoil spreading (topsoil stockpiled immediately adjacent to the area to be rehabilitated) for push &lt; 50m</v>
      </c>
      <c r="E51" s="148" t="s">
        <v>515</v>
      </c>
      <c r="F51" s="200"/>
      <c r="G51" s="149" t="s">
        <v>82</v>
      </c>
      <c r="H51" s="201">
        <f>VLOOKUP($P51,TOV!$A$4:$E$65536,4,FALSE)</f>
        <v>0.91973826434448702</v>
      </c>
      <c r="I51" s="307"/>
      <c r="J51" s="136">
        <f>IF($E51="Y",IF(I51=0,F51*H51,F51*I51),"")</f>
        <v>0</v>
      </c>
      <c r="K51" s="157"/>
      <c r="L51" s="474" t="s">
        <v>660</v>
      </c>
      <c r="M51" s="308"/>
      <c r="N51" s="309"/>
      <c r="O51" s="258">
        <f>IF(I51="",0,1)</f>
        <v>0</v>
      </c>
      <c r="P51" s="310" t="s">
        <v>448</v>
      </c>
      <c r="Q51" s="311"/>
      <c r="R51" s="312"/>
    </row>
    <row r="52" spans="1:18" s="1" customFormat="1" ht="36" x14ac:dyDescent="0.2">
      <c r="A52" s="102"/>
      <c r="B52" s="218"/>
      <c r="C52" s="614"/>
      <c r="D52" s="154" t="str">
        <f>VLOOKUP($P52,TOV!$A$4:$E$65536,2,FALSE)</f>
        <v>Purchase of topsoil where there is a shortage on site</v>
      </c>
      <c r="E52" s="148" t="s">
        <v>515</v>
      </c>
      <c r="F52" s="200"/>
      <c r="G52" s="149" t="s">
        <v>38</v>
      </c>
      <c r="H52" s="201">
        <f>VLOOKUP($P52,TOV!$A$4:$E$65536,4,FALSE)</f>
        <v>34.622540861999994</v>
      </c>
      <c r="I52" s="220"/>
      <c r="J52" s="136">
        <f t="shared" ref="J52" si="4">IF($E52="Y",IF(I52=0,F52*H52,F52*I52),"")</f>
        <v>0</v>
      </c>
      <c r="K52" s="157"/>
      <c r="L52" s="475" t="s">
        <v>610</v>
      </c>
      <c r="M52" s="162"/>
      <c r="N52" s="16"/>
      <c r="O52" s="159">
        <f t="shared" ref="O52" si="5">IF(I52="",0,1)</f>
        <v>0</v>
      </c>
      <c r="P52" s="160" t="s">
        <v>611</v>
      </c>
      <c r="Q52" s="311"/>
      <c r="R52" s="312"/>
    </row>
    <row r="53" spans="1:18" ht="27" customHeight="1" x14ac:dyDescent="0.2">
      <c r="A53" s="1"/>
      <c r="B53" s="6"/>
      <c r="C53" s="614"/>
      <c r="D53" s="180" t="str">
        <f>VLOOKUP($P53,TOV!$A$4:$E$65536,2,FALSE)</f>
        <v>Soil amelioration (adding gypsum, lime, etc)</v>
      </c>
      <c r="E53" s="148" t="s">
        <v>515</v>
      </c>
      <c r="F53" s="181"/>
      <c r="G53" s="149" t="s">
        <v>47</v>
      </c>
      <c r="H53" s="156">
        <f>VLOOKUP($P53,TOV!$A$4:$E$65536,4,FALSE)</f>
        <v>510.96570241360388</v>
      </c>
      <c r="I53" s="163"/>
      <c r="J53" s="136">
        <f t="shared" si="3"/>
        <v>0</v>
      </c>
      <c r="K53" s="137"/>
      <c r="L53" s="474" t="s">
        <v>612</v>
      </c>
      <c r="M53" s="7"/>
      <c r="O53" s="151">
        <f t="shared" si="0"/>
        <v>0</v>
      </c>
      <c r="P53" s="152" t="s">
        <v>119</v>
      </c>
      <c r="Q53" s="153"/>
    </row>
    <row r="54" spans="1:18" ht="63" x14ac:dyDescent="0.2">
      <c r="A54" s="1"/>
      <c r="B54" s="6"/>
      <c r="C54" s="614"/>
      <c r="D54" s="180" t="str">
        <f>VLOOKUP($P54,TOV!$A$4:$E$65536,2,FALSE)</f>
        <v>Direct seeding (native tree species OR using native grasses), with single application of fertiliser</v>
      </c>
      <c r="E54" s="148" t="s">
        <v>515</v>
      </c>
      <c r="F54" s="181"/>
      <c r="G54" s="149" t="s">
        <v>47</v>
      </c>
      <c r="H54" s="156">
        <f>VLOOKUP($P54,TOV!$A$4:$E$65536,4,FALSE)</f>
        <v>3576.7599168952274</v>
      </c>
      <c r="I54" s="163"/>
      <c r="J54" s="136">
        <f t="shared" si="3"/>
        <v>0</v>
      </c>
      <c r="K54" s="137"/>
      <c r="L54" s="474" t="s">
        <v>613</v>
      </c>
      <c r="M54" s="7"/>
      <c r="O54" s="151">
        <f t="shared" si="0"/>
        <v>0</v>
      </c>
      <c r="P54" s="152" t="s">
        <v>121</v>
      </c>
      <c r="Q54" s="153"/>
    </row>
    <row r="55" spans="1:18" ht="63" x14ac:dyDescent="0.2">
      <c r="A55" s="1"/>
      <c r="B55" s="6"/>
      <c r="C55" s="614"/>
      <c r="D55" s="180" t="str">
        <f>VLOOKUP($P55,TOV!$A$4:$E$65536,2,FALSE)</f>
        <v>Direct seeding (pasture grass species), with single application of fertiliser</v>
      </c>
      <c r="E55" s="148" t="s">
        <v>515</v>
      </c>
      <c r="F55" s="181"/>
      <c r="G55" s="149" t="s">
        <v>47</v>
      </c>
      <c r="H55" s="156">
        <f>VLOOKUP($P55,TOV!$A$4:$E$65536,4,FALSE)</f>
        <v>919.73826434448688</v>
      </c>
      <c r="I55" s="163"/>
      <c r="J55" s="136">
        <f t="shared" si="3"/>
        <v>0</v>
      </c>
      <c r="K55" s="137"/>
      <c r="L55" s="474" t="s">
        <v>614</v>
      </c>
      <c r="M55" s="7"/>
      <c r="O55" s="151">
        <f t="shared" si="0"/>
        <v>0</v>
      </c>
      <c r="P55" s="152" t="s">
        <v>123</v>
      </c>
      <c r="Q55" s="153"/>
    </row>
    <row r="56" spans="1:18" ht="27" customHeight="1" thickBot="1" x14ac:dyDescent="0.25">
      <c r="A56" s="1"/>
      <c r="B56" s="6"/>
      <c r="C56" s="614"/>
      <c r="D56" s="191" t="str">
        <f>VLOOKUP($P56,TOV!$A$4:$E$65536,2,FALSE)</f>
        <v>Planting tubestock (&lt; 15cm)</v>
      </c>
      <c r="E56" s="192" t="s">
        <v>515</v>
      </c>
      <c r="F56" s="193"/>
      <c r="G56" s="194" t="s">
        <v>41</v>
      </c>
      <c r="H56" s="195">
        <f>VLOOKUP($P56,TOV!$A$4:$E$65536,4,FALSE)</f>
        <v>8.6604356341288788</v>
      </c>
      <c r="I56" s="196"/>
      <c r="J56" s="197">
        <f t="shared" si="3"/>
        <v>0</v>
      </c>
      <c r="K56" s="213"/>
      <c r="L56" s="479" t="s">
        <v>615</v>
      </c>
      <c r="M56" s="7"/>
      <c r="O56" s="151">
        <f t="shared" si="0"/>
        <v>0</v>
      </c>
      <c r="P56" s="152" t="s">
        <v>129</v>
      </c>
      <c r="Q56" s="153"/>
    </row>
    <row r="57" spans="1:18" ht="13.5" thickBot="1" x14ac:dyDescent="0.25">
      <c r="A57" s="1"/>
      <c r="B57" s="6"/>
      <c r="C57" s="205"/>
      <c r="D57" s="206"/>
      <c r="E57" s="207"/>
      <c r="F57" s="171" t="s">
        <v>573</v>
      </c>
      <c r="G57" s="171"/>
      <c r="H57" s="171"/>
      <c r="I57" s="208"/>
      <c r="J57" s="209">
        <f>SUM(J41:J56)</f>
        <v>0</v>
      </c>
      <c r="K57" s="209"/>
      <c r="L57" s="481"/>
      <c r="M57" s="7"/>
      <c r="O57" s="649"/>
      <c r="P57" s="650"/>
      <c r="Q57" s="651"/>
    </row>
    <row r="58" spans="1:18" ht="12.75" x14ac:dyDescent="0.2">
      <c r="A58" s="1"/>
      <c r="B58" s="6"/>
      <c r="C58" s="667" t="s">
        <v>621</v>
      </c>
      <c r="D58" s="370" t="s">
        <v>622</v>
      </c>
      <c r="E58" s="133"/>
      <c r="F58" s="237"/>
      <c r="G58" s="133"/>
      <c r="H58" s="652"/>
      <c r="I58" s="135"/>
      <c r="J58" s="238">
        <f>F58*I58</f>
        <v>0</v>
      </c>
      <c r="K58" s="238"/>
      <c r="L58" s="500" t="s">
        <v>623</v>
      </c>
      <c r="M58" s="7"/>
      <c r="O58" s="138">
        <f t="shared" si="0"/>
        <v>0</v>
      </c>
      <c r="P58" s="266"/>
      <c r="Q58" s="140"/>
    </row>
    <row r="59" spans="1:18" ht="12.75" x14ac:dyDescent="0.2">
      <c r="A59" s="1"/>
      <c r="B59" s="6"/>
      <c r="C59" s="581"/>
      <c r="D59" s="371" t="s">
        <v>624</v>
      </c>
      <c r="E59" s="149"/>
      <c r="F59" s="240"/>
      <c r="G59" s="149"/>
      <c r="H59" s="653"/>
      <c r="I59" s="163"/>
      <c r="J59" s="241">
        <f>F59*I59</f>
        <v>0</v>
      </c>
      <c r="K59" s="241"/>
      <c r="L59" s="501" t="s">
        <v>623</v>
      </c>
      <c r="M59" s="7"/>
      <c r="O59" s="151">
        <f t="shared" si="0"/>
        <v>0</v>
      </c>
      <c r="P59" s="267"/>
      <c r="Q59" s="153"/>
    </row>
    <row r="60" spans="1:18" ht="13.5" thickBot="1" x14ac:dyDescent="0.25">
      <c r="A60" s="1"/>
      <c r="B60" s="6"/>
      <c r="C60" s="581"/>
      <c r="D60" s="372" t="s">
        <v>625</v>
      </c>
      <c r="E60" s="164"/>
      <c r="F60" s="243"/>
      <c r="G60" s="164"/>
      <c r="H60" s="654"/>
      <c r="I60" s="165"/>
      <c r="J60" s="268">
        <f>F60*I60</f>
        <v>0</v>
      </c>
      <c r="K60" s="244"/>
      <c r="L60" s="502" t="s">
        <v>623</v>
      </c>
      <c r="M60" s="7"/>
      <c r="O60" s="166">
        <f t="shared" si="0"/>
        <v>0</v>
      </c>
      <c r="P60" s="269"/>
      <c r="Q60" s="168"/>
    </row>
    <row r="61" spans="1:18" ht="13.5" thickBot="1" x14ac:dyDescent="0.25">
      <c r="A61" s="1"/>
      <c r="B61" s="6"/>
      <c r="C61" s="260"/>
      <c r="D61" s="270"/>
      <c r="E61" s="270"/>
      <c r="F61" s="359" t="s">
        <v>573</v>
      </c>
      <c r="G61" s="360"/>
      <c r="H61" s="361"/>
      <c r="I61" s="361"/>
      <c r="J61" s="362">
        <f>SUM(J58:J60)</f>
        <v>0</v>
      </c>
      <c r="K61" s="373"/>
      <c r="L61" s="477"/>
      <c r="M61" s="7"/>
      <c r="O61" s="711"/>
      <c r="P61" s="712"/>
      <c r="Q61" s="713"/>
    </row>
    <row r="62" spans="1:18" ht="15" x14ac:dyDescent="0.2">
      <c r="A62" s="1"/>
      <c r="B62" s="6"/>
      <c r="C62" s="214"/>
      <c r="D62" s="214"/>
      <c r="E62" s="214"/>
      <c r="F62" s="214"/>
      <c r="G62" s="214"/>
      <c r="H62" s="214"/>
      <c r="I62" s="214"/>
      <c r="J62" s="214"/>
      <c r="K62" s="214"/>
      <c r="L62" s="491"/>
      <c r="M62" s="7"/>
      <c r="O62" s="1"/>
      <c r="P62" s="1"/>
      <c r="Q62" s="16"/>
    </row>
    <row r="63" spans="1:18" ht="15.75" x14ac:dyDescent="0.2">
      <c r="A63" s="1"/>
      <c r="B63" s="6"/>
      <c r="C63" s="246" t="s">
        <v>627</v>
      </c>
      <c r="D63" s="655" t="s">
        <v>628</v>
      </c>
      <c r="E63" s="655"/>
      <c r="F63" s="656"/>
      <c r="G63" s="656"/>
      <c r="H63" s="656"/>
      <c r="I63" s="273"/>
      <c r="J63" s="374">
        <f>SUM(J35,J40,J57,J61)</f>
        <v>0</v>
      </c>
      <c r="K63" s="374"/>
      <c r="L63" s="491"/>
      <c r="M63" s="7"/>
      <c r="O63" s="1"/>
      <c r="P63" s="1"/>
      <c r="Q63" s="16"/>
    </row>
    <row r="64" spans="1:18" ht="15" x14ac:dyDescent="0.2">
      <c r="A64" s="1"/>
      <c r="B64" s="50"/>
      <c r="C64" s="275"/>
      <c r="D64" s="275"/>
      <c r="E64" s="275"/>
      <c r="F64" s="338"/>
      <c r="G64" s="275"/>
      <c r="H64" s="275"/>
      <c r="I64" s="275"/>
      <c r="J64" s="275"/>
      <c r="K64" s="275"/>
      <c r="L64" s="492"/>
      <c r="M64" s="33"/>
      <c r="O64" s="1"/>
      <c r="P64" s="1"/>
      <c r="Q64" s="16"/>
    </row>
    <row r="65" spans="1:17" ht="15" x14ac:dyDescent="0.25">
      <c r="A65" s="1"/>
      <c r="B65" s="1"/>
      <c r="C65" s="1"/>
      <c r="D65" s="1"/>
      <c r="E65" s="1"/>
      <c r="F65" s="1"/>
      <c r="G65" s="1"/>
      <c r="H65" s="1"/>
      <c r="I65" s="1"/>
      <c r="J65" s="1"/>
      <c r="K65" s="1"/>
      <c r="L65" s="457"/>
      <c r="M65" s="1"/>
      <c r="O65" s="1"/>
      <c r="P65" s="1"/>
      <c r="Q65" s="16"/>
    </row>
    <row r="66" spans="1:17" ht="12.75" hidden="1" customHeight="1" x14ac:dyDescent="0.25"/>
    <row r="67" spans="1:17" ht="12.75" hidden="1" customHeight="1" x14ac:dyDescent="0.25"/>
    <row r="68" spans="1:17" ht="12.75" hidden="1" customHeight="1" x14ac:dyDescent="0.25"/>
    <row r="69" spans="1:17" ht="12.75" hidden="1" customHeight="1" x14ac:dyDescent="0.25"/>
    <row r="70" spans="1:17" ht="12.75" hidden="1" customHeight="1" x14ac:dyDescent="0.25"/>
    <row r="71" spans="1:17" ht="12.75" hidden="1" customHeight="1" x14ac:dyDescent="0.25"/>
    <row r="72" spans="1:17" ht="12.75" hidden="1" customHeight="1" x14ac:dyDescent="0.25"/>
    <row r="73" spans="1:17" ht="12.75" hidden="1" customHeight="1" x14ac:dyDescent="0.25"/>
    <row r="74" spans="1:17" ht="12.75" hidden="1" customHeight="1" x14ac:dyDescent="0.25"/>
    <row r="75" spans="1:17" ht="12.75" hidden="1" customHeight="1" x14ac:dyDescent="0.25"/>
    <row r="76" spans="1:17" ht="12.75" hidden="1" customHeight="1" x14ac:dyDescent="0.25"/>
    <row r="77" spans="1:17" ht="12.75" hidden="1" customHeight="1" x14ac:dyDescent="0.25"/>
    <row r="78" spans="1:17" ht="12.75" hidden="1" customHeight="1" x14ac:dyDescent="0.25"/>
    <row r="79" spans="1:17" ht="12.75" hidden="1" customHeight="1" x14ac:dyDescent="0.25"/>
    <row r="80" spans="1:17" ht="12.75" hidden="1" customHeight="1" x14ac:dyDescent="0.25"/>
    <row r="81" ht="12.75" hidden="1" customHeight="1" x14ac:dyDescent="0.25"/>
    <row r="82" ht="12.75" hidden="1" customHeight="1" x14ac:dyDescent="0.25"/>
    <row r="83" ht="12.75" hidden="1" customHeight="1" x14ac:dyDescent="0.25"/>
    <row r="84" ht="12.75" hidden="1" customHeight="1" x14ac:dyDescent="0.25"/>
    <row r="85" ht="12.75" hidden="1" customHeight="1" x14ac:dyDescent="0.25"/>
    <row r="86" ht="12.75" hidden="1" customHeight="1" x14ac:dyDescent="0.25"/>
    <row r="87" ht="12.75" hidden="1" customHeight="1" x14ac:dyDescent="0.25"/>
    <row r="88" ht="12.75" hidden="1" customHeight="1" x14ac:dyDescent="0.25"/>
    <row r="89" ht="12.75" hidden="1" customHeight="1" x14ac:dyDescent="0.25"/>
    <row r="90" ht="12.75" hidden="1" customHeight="1" x14ac:dyDescent="0.25"/>
    <row r="91" ht="12.75" hidden="1" customHeight="1" x14ac:dyDescent="0.25"/>
    <row r="92" ht="12.75" hidden="1" customHeight="1" x14ac:dyDescent="0.25"/>
    <row r="93" ht="12.75" hidden="1" customHeight="1" x14ac:dyDescent="0.25"/>
    <row r="94" ht="12.75" hidden="1" customHeight="1" x14ac:dyDescent="0.25"/>
    <row r="95" ht="12.75" hidden="1" customHeight="1" x14ac:dyDescent="0.25"/>
    <row r="96" ht="12.75" hidden="1" customHeight="1" x14ac:dyDescent="0.25"/>
    <row r="97" ht="15" x14ac:dyDescent="0.25"/>
    <row r="98" ht="15" x14ac:dyDescent="0.25"/>
    <row r="99" ht="15" x14ac:dyDescent="0.25"/>
    <row r="100" ht="15" x14ac:dyDescent="0.25"/>
    <row r="101" ht="15" x14ac:dyDescent="0.25"/>
    <row r="102" ht="12.75" hidden="1" customHeight="1" x14ac:dyDescent="0.25"/>
    <row r="103" ht="15" x14ac:dyDescent="0.25"/>
    <row r="104" ht="15" x14ac:dyDescent="0.25"/>
  </sheetData>
  <mergeCells count="88">
    <mergeCell ref="C3:L3"/>
    <mergeCell ref="C8:D17"/>
    <mergeCell ref="G8:H8"/>
    <mergeCell ref="G9:H9"/>
    <mergeCell ref="G10:H10"/>
    <mergeCell ref="G11:H11"/>
    <mergeCell ref="G12:H12"/>
    <mergeCell ref="G13:H13"/>
    <mergeCell ref="G14:H14"/>
    <mergeCell ref="G15:H15"/>
    <mergeCell ref="G16:H16"/>
    <mergeCell ref="G17:H17"/>
    <mergeCell ref="M22:M23"/>
    <mergeCell ref="N22:N23"/>
    <mergeCell ref="F18:G18"/>
    <mergeCell ref="C20:C34"/>
    <mergeCell ref="D22:D23"/>
    <mergeCell ref="E22:E23"/>
    <mergeCell ref="F22:F23"/>
    <mergeCell ref="G22:G23"/>
    <mergeCell ref="J24:J25"/>
    <mergeCell ref="L24:L25"/>
    <mergeCell ref="I22:I23"/>
    <mergeCell ref="J22:J23"/>
    <mergeCell ref="L22:L23"/>
    <mergeCell ref="E24:E25"/>
    <mergeCell ref="F24:F25"/>
    <mergeCell ref="G24:G25"/>
    <mergeCell ref="H24:H25"/>
    <mergeCell ref="I24:I25"/>
    <mergeCell ref="O22:O23"/>
    <mergeCell ref="Q24:Q25"/>
    <mergeCell ref="D26:D27"/>
    <mergeCell ref="E26:E27"/>
    <mergeCell ref="F26:F27"/>
    <mergeCell ref="G26:G27"/>
    <mergeCell ref="H26:H27"/>
    <mergeCell ref="O26:O27"/>
    <mergeCell ref="M24:M25"/>
    <mergeCell ref="N24:N25"/>
    <mergeCell ref="O24:O25"/>
    <mergeCell ref="P24:P25"/>
    <mergeCell ref="H22:H23"/>
    <mergeCell ref="P22:P23"/>
    <mergeCell ref="Q22:Q23"/>
    <mergeCell ref="D24:D25"/>
    <mergeCell ref="O35:Q35"/>
    <mergeCell ref="P26:P27"/>
    <mergeCell ref="Q26:Q27"/>
    <mergeCell ref="D31:D32"/>
    <mergeCell ref="E31:E32"/>
    <mergeCell ref="F31:F32"/>
    <mergeCell ref="G31:G32"/>
    <mergeCell ref="H31:H32"/>
    <mergeCell ref="I31:I32"/>
    <mergeCell ref="J31:J32"/>
    <mergeCell ref="L31:L32"/>
    <mergeCell ref="I26:I27"/>
    <mergeCell ref="J26:J27"/>
    <mergeCell ref="L26:L27"/>
    <mergeCell ref="M26:M27"/>
    <mergeCell ref="N26:N27"/>
    <mergeCell ref="M31:M32"/>
    <mergeCell ref="N31:N32"/>
    <mergeCell ref="O31:O32"/>
    <mergeCell ref="P31:P32"/>
    <mergeCell ref="Q31:Q32"/>
    <mergeCell ref="Q49:Q50"/>
    <mergeCell ref="C36:C39"/>
    <mergeCell ref="O40:Q40"/>
    <mergeCell ref="C41:C56"/>
    <mergeCell ref="D49:D50"/>
    <mergeCell ref="E49:E50"/>
    <mergeCell ref="F49:F50"/>
    <mergeCell ref="G49:G50"/>
    <mergeCell ref="H49:H50"/>
    <mergeCell ref="I49:I50"/>
    <mergeCell ref="J49:J50"/>
    <mergeCell ref="L49:L50"/>
    <mergeCell ref="M49:M50"/>
    <mergeCell ref="N49:N50"/>
    <mergeCell ref="O49:O50"/>
    <mergeCell ref="P49:P50"/>
    <mergeCell ref="O57:Q57"/>
    <mergeCell ref="C58:C60"/>
    <mergeCell ref="H58:H60"/>
    <mergeCell ref="O61:Q61"/>
    <mergeCell ref="D63:H63"/>
  </mergeCells>
  <conditionalFormatting sqref="F20:F34">
    <cfRule type="expression" dxfId="17" priority="14" stopIfTrue="1">
      <formula>$E20="N"</formula>
    </cfRule>
    <cfRule type="expression" dxfId="16" priority="15" stopIfTrue="1">
      <formula>$E20="Y"</formula>
    </cfRule>
  </conditionalFormatting>
  <conditionalFormatting sqref="F36:F39">
    <cfRule type="expression" dxfId="15" priority="10" stopIfTrue="1">
      <formula>$E36="N"</formula>
    </cfRule>
    <cfRule type="expression" dxfId="14" priority="11" stopIfTrue="1">
      <formula>$E36="Y"</formula>
    </cfRule>
  </conditionalFormatting>
  <conditionalFormatting sqref="F41:F56">
    <cfRule type="expression" dxfId="13" priority="2" stopIfTrue="1">
      <formula>$E41="N"</formula>
    </cfRule>
    <cfRule type="expression" dxfId="12" priority="3" stopIfTrue="1">
      <formula>$E41="Y"</formula>
    </cfRule>
  </conditionalFormatting>
  <conditionalFormatting sqref="J20:J34">
    <cfRule type="expression" dxfId="11" priority="13" stopIfTrue="1">
      <formula>$O20=1</formula>
    </cfRule>
  </conditionalFormatting>
  <conditionalFormatting sqref="J36:J39">
    <cfRule type="expression" dxfId="10" priority="9" stopIfTrue="1">
      <formula>$O36=1</formula>
    </cfRule>
  </conditionalFormatting>
  <conditionalFormatting sqref="J41:J56">
    <cfRule type="expression" dxfId="9" priority="1" stopIfTrue="1">
      <formula>$O41=1</formula>
    </cfRule>
  </conditionalFormatting>
  <conditionalFormatting sqref="K20:K34">
    <cfRule type="expression" dxfId="8" priority="16" stopIfTrue="1">
      <formula>$O20=1</formula>
    </cfRule>
  </conditionalFormatting>
  <conditionalFormatting sqref="K36:K39">
    <cfRule type="expression" dxfId="7" priority="12" stopIfTrue="1">
      <formula>$O36=1</formula>
    </cfRule>
  </conditionalFormatting>
  <conditionalFormatting sqref="K41:K56">
    <cfRule type="expression" dxfId="6" priority="4" stopIfTrue="1">
      <formula>$O41=1</formula>
    </cfRule>
  </conditionalFormatting>
  <dataValidations count="5">
    <dataValidation type="list" allowBlank="1" showInputMessage="1" showErrorMessage="1" sqref="K22" xr:uid="{54055ED9-8017-4864-A0BC-D19B8CE83DBE}">
      <formula1>Select_Push_Distance_Sand</formula1>
    </dataValidation>
    <dataValidation type="list" allowBlank="1" showInputMessage="1" showErrorMessage="1" sqref="K24" xr:uid="{46D50F9D-8A88-4247-91D6-489B4F64F4D9}">
      <formula1>Select_Push_Distance_Clay</formula1>
    </dataValidation>
    <dataValidation type="list" allowBlank="1" showInputMessage="1" showErrorMessage="1" sqref="K26" xr:uid="{7809854A-E9DE-4253-AD41-5E8BF7CDD762}">
      <formula1>Select_Push_Distance_Stiff_Clay</formula1>
    </dataValidation>
    <dataValidation type="list" allowBlank="1" showInputMessage="1" showErrorMessage="1" sqref="K49 K31" xr:uid="{13AEF31F-127C-40DA-B017-3DD9678B1A3B}">
      <formula1>Select_Haul_Distance</formula1>
    </dataValidation>
    <dataValidation type="list" allowBlank="1" showInputMessage="1" showErrorMessage="1" sqref="E36:E39 E20:E34 E41:E56" xr:uid="{7940D286-9B71-415B-935B-D3C34E0CAF5D}">
      <formula1>Y_N</formula1>
    </dataValidation>
  </dataValidations>
  <printOptions horizontalCentered="1"/>
  <pageMargins left="0.59055118110236227" right="0.59055118110236227" top="0.59055118110236227" bottom="0.59055118110236227" header="0.51181102362204722" footer="0.51181102362204722"/>
  <pageSetup paperSize="8" orientation="landscape" r:id="rId1"/>
  <headerFooter alignWithMargins="0">
    <oddFooter>&amp;C_x000D_&amp;1#&amp;"Calibri"&amp;12&amp;K000000 OFFICIAL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B7051-8E42-48A0-9F7B-F616230BA211}">
  <sheetPr codeName="Sheet27"/>
  <dimension ref="A1:AO36"/>
  <sheetViews>
    <sheetView workbookViewId="0">
      <selection activeCell="C41" sqref="C41:M71"/>
    </sheetView>
  </sheetViews>
  <sheetFormatPr defaultColWidth="0" defaultRowHeight="0" customHeight="1" zeroHeight="1" x14ac:dyDescent="0.25"/>
  <cols>
    <col min="1" max="2" width="2.42578125" style="2" customWidth="1"/>
    <col min="3" max="3" width="25.85546875" style="2" customWidth="1"/>
    <col min="4" max="4" width="33.7109375" style="2" customWidth="1"/>
    <col min="5" max="5" width="9" style="2" customWidth="1"/>
    <col min="6" max="6" width="7.42578125" style="2" customWidth="1"/>
    <col min="7" max="7" width="4" style="2" customWidth="1"/>
    <col min="8" max="9" width="11.140625" style="2" customWidth="1"/>
    <col min="10" max="10" width="15.7109375" style="2" customWidth="1"/>
    <col min="11" max="11" width="28.7109375" style="2" customWidth="1"/>
    <col min="12" max="12" width="40.140625" customWidth="1"/>
    <col min="13" max="13" width="2.140625" style="2" customWidth="1"/>
    <col min="14" max="14" width="2.42578125" style="1" customWidth="1"/>
    <col min="15" max="17" width="4.5703125" style="2" hidden="1" customWidth="1"/>
    <col min="18" max="18" width="2.42578125" style="1" hidden="1" customWidth="1"/>
    <col min="19" max="16384" width="8.85546875" style="2" hidden="1"/>
  </cols>
  <sheetData>
    <row r="1" spans="1:19" ht="15" x14ac:dyDescent="0.25">
      <c r="A1" s="1"/>
      <c r="B1" s="1"/>
      <c r="C1" s="1"/>
      <c r="D1" s="1"/>
      <c r="E1" s="1"/>
      <c r="F1" s="1"/>
      <c r="G1" s="1"/>
      <c r="H1" s="1"/>
      <c r="I1" s="1"/>
      <c r="J1" s="1"/>
      <c r="K1" s="1"/>
      <c r="L1" s="457"/>
      <c r="M1" s="1"/>
      <c r="O1" s="1"/>
      <c r="P1" s="1"/>
      <c r="Q1" s="1"/>
    </row>
    <row r="2" spans="1:19" ht="15" x14ac:dyDescent="0.25">
      <c r="A2" s="1"/>
      <c r="B2" s="3"/>
      <c r="C2" s="4"/>
      <c r="D2" s="4"/>
      <c r="E2" s="4"/>
      <c r="F2" s="4"/>
      <c r="G2" s="4"/>
      <c r="H2" s="4"/>
      <c r="I2" s="4"/>
      <c r="J2" s="4"/>
      <c r="K2" s="4"/>
      <c r="L2" s="458"/>
      <c r="M2" s="5"/>
      <c r="O2" s="1"/>
      <c r="P2" s="1"/>
      <c r="Q2" s="1"/>
    </row>
    <row r="3" spans="1:19" ht="23.25" thickBot="1" x14ac:dyDescent="0.25">
      <c r="A3" s="1"/>
      <c r="B3" s="6"/>
      <c r="C3" s="639" t="s">
        <v>540</v>
      </c>
      <c r="D3" s="639"/>
      <c r="E3" s="639"/>
      <c r="F3" s="639"/>
      <c r="G3" s="639"/>
      <c r="H3" s="639"/>
      <c r="I3" s="639"/>
      <c r="J3" s="639"/>
      <c r="K3" s="639"/>
      <c r="L3" s="639"/>
      <c r="M3" s="7"/>
      <c r="O3" s="1"/>
      <c r="P3" s="1"/>
      <c r="Q3" s="1"/>
    </row>
    <row r="4" spans="1:19" ht="22.5" customHeight="1" x14ac:dyDescent="0.2">
      <c r="A4" s="1"/>
      <c r="B4" s="6"/>
      <c r="C4" s="89" t="s">
        <v>680</v>
      </c>
      <c r="D4" s="90"/>
      <c r="E4" s="90"/>
      <c r="F4" s="91"/>
      <c r="G4" s="91"/>
      <c r="H4" s="92"/>
      <c r="I4" s="92"/>
      <c r="J4" s="92"/>
      <c r="K4" s="93" t="s">
        <v>542</v>
      </c>
      <c r="L4" s="463">
        <f>Total_Liability</f>
        <v>3235.6385328442129</v>
      </c>
      <c r="M4" s="7"/>
      <c r="O4" s="1"/>
      <c r="P4" s="1"/>
      <c r="Q4" s="1"/>
    </row>
    <row r="5" spans="1:19" ht="12.75" customHeight="1" x14ac:dyDescent="0.2">
      <c r="A5" s="94"/>
      <c r="B5" s="95"/>
      <c r="C5" s="96"/>
      <c r="D5" s="97"/>
      <c r="E5" s="97"/>
      <c r="F5" s="98"/>
      <c r="G5" s="98"/>
      <c r="H5" s="99"/>
      <c r="I5" s="99"/>
      <c r="J5" s="99"/>
      <c r="K5" s="100" t="s">
        <v>543</v>
      </c>
      <c r="L5" s="464">
        <f>J34</f>
        <v>0</v>
      </c>
      <c r="M5" s="101"/>
      <c r="N5" s="102"/>
      <c r="O5" s="94"/>
      <c r="P5" s="94"/>
      <c r="Q5" s="94"/>
    </row>
    <row r="6" spans="1:19" ht="12.75" customHeight="1" x14ac:dyDescent="0.25">
      <c r="A6" s="103"/>
      <c r="B6" s="104"/>
      <c r="C6" s="105"/>
      <c r="D6" s="106"/>
      <c r="E6" s="106"/>
      <c r="G6" s="107"/>
      <c r="H6" s="107"/>
      <c r="J6" s="108"/>
      <c r="K6" s="1"/>
      <c r="L6" s="457"/>
      <c r="M6" s="109"/>
      <c r="N6" s="16"/>
      <c r="O6" s="110"/>
      <c r="P6" s="103"/>
      <c r="Q6" s="110"/>
    </row>
    <row r="7" spans="1:19" ht="12.75" customHeight="1" thickBot="1" x14ac:dyDescent="0.25">
      <c r="A7" s="110"/>
      <c r="B7" s="111"/>
      <c r="C7" s="112" t="s">
        <v>544</v>
      </c>
      <c r="D7" s="97"/>
      <c r="E7" s="97"/>
      <c r="F7" s="112"/>
      <c r="G7" s="98"/>
      <c r="H7" s="107"/>
      <c r="I7" s="1"/>
      <c r="J7" s="1"/>
      <c r="K7" s="1"/>
      <c r="L7" s="465" t="s">
        <v>545</v>
      </c>
      <c r="M7" s="113"/>
      <c r="N7" s="102"/>
      <c r="O7" s="110"/>
      <c r="P7" s="110"/>
      <c r="Q7" s="110"/>
    </row>
    <row r="8" spans="1:19" ht="12.75" customHeight="1" x14ac:dyDescent="0.2">
      <c r="A8" s="94"/>
      <c r="B8" s="95"/>
      <c r="C8" s="640"/>
      <c r="D8" s="641"/>
      <c r="E8" s="114"/>
      <c r="F8" s="646"/>
      <c r="G8" s="646"/>
      <c r="H8" s="646"/>
      <c r="I8" s="646"/>
      <c r="J8" s="647"/>
      <c r="K8" s="647"/>
      <c r="L8" s="466" t="s">
        <v>546</v>
      </c>
      <c r="M8" s="101"/>
      <c r="N8" s="16"/>
      <c r="O8" s="94"/>
      <c r="P8" s="94"/>
      <c r="Q8" s="94"/>
    </row>
    <row r="9" spans="1:19" ht="12.75" customHeight="1" x14ac:dyDescent="0.2">
      <c r="A9" s="94"/>
      <c r="B9" s="95"/>
      <c r="C9" s="642"/>
      <c r="D9" s="643"/>
      <c r="E9" s="114"/>
      <c r="F9" s="646"/>
      <c r="G9" s="646"/>
      <c r="H9" s="646"/>
      <c r="I9" s="646"/>
      <c r="J9" s="648"/>
      <c r="K9" s="648"/>
      <c r="L9" s="467" t="s">
        <v>547</v>
      </c>
      <c r="M9" s="101"/>
      <c r="N9" s="16"/>
      <c r="O9" s="94"/>
      <c r="P9" s="94"/>
      <c r="Q9" s="94"/>
    </row>
    <row r="10" spans="1:19" ht="12.75" customHeight="1" x14ac:dyDescent="0.2">
      <c r="A10" s="94"/>
      <c r="B10" s="95"/>
      <c r="C10" s="642"/>
      <c r="D10" s="643"/>
      <c r="E10" s="114"/>
      <c r="F10" s="646"/>
      <c r="G10" s="646"/>
      <c r="H10" s="646"/>
      <c r="I10" s="646"/>
      <c r="J10" s="648"/>
      <c r="K10" s="648"/>
      <c r="L10" s="468" t="s">
        <v>548</v>
      </c>
      <c r="M10" s="101"/>
      <c r="N10" s="16"/>
      <c r="O10" s="94"/>
      <c r="P10" s="94"/>
      <c r="Q10" s="94"/>
    </row>
    <row r="11" spans="1:19" ht="12.75" customHeight="1" x14ac:dyDescent="0.2">
      <c r="A11" s="94"/>
      <c r="B11" s="95"/>
      <c r="C11" s="642"/>
      <c r="D11" s="643"/>
      <c r="E11" s="114"/>
      <c r="F11" s="646"/>
      <c r="G11" s="646"/>
      <c r="H11" s="646"/>
      <c r="I11" s="646"/>
      <c r="J11" s="648"/>
      <c r="K11" s="648"/>
      <c r="L11" s="469" t="s">
        <v>549</v>
      </c>
      <c r="M11" s="101"/>
      <c r="N11" s="102"/>
      <c r="O11" s="94"/>
      <c r="P11" s="94"/>
      <c r="Q11" s="94"/>
    </row>
    <row r="12" spans="1:19" ht="12.75" customHeight="1" thickBot="1" x14ac:dyDescent="0.25">
      <c r="A12" s="107"/>
      <c r="B12" s="117"/>
      <c r="C12" s="644"/>
      <c r="D12" s="645"/>
      <c r="E12" s="97"/>
      <c r="F12" s="98"/>
      <c r="G12" s="118"/>
      <c r="H12" s="119"/>
      <c r="I12" s="119"/>
      <c r="J12" s="99"/>
      <c r="K12" s="99"/>
      <c r="L12" s="470"/>
      <c r="M12" s="120"/>
      <c r="N12" s="102"/>
      <c r="O12" s="107"/>
      <c r="P12" s="107"/>
      <c r="Q12" s="107"/>
      <c r="S12" s="121"/>
    </row>
    <row r="13" spans="1:19" ht="12.75" customHeight="1" thickBot="1" x14ac:dyDescent="0.25">
      <c r="A13" s="1"/>
      <c r="B13" s="6"/>
      <c r="C13" s="122"/>
      <c r="D13" s="97"/>
      <c r="E13" s="97"/>
      <c r="F13" s="98"/>
      <c r="G13" s="98"/>
      <c r="H13" s="119"/>
      <c r="I13" s="119"/>
      <c r="J13" s="99"/>
      <c r="K13" s="99"/>
      <c r="L13" s="488"/>
      <c r="M13" s="7"/>
      <c r="O13" s="1"/>
      <c r="P13" s="1"/>
      <c r="Q13" s="1"/>
    </row>
    <row r="14" spans="1:19" ht="23.25" thickBot="1" x14ac:dyDescent="0.25">
      <c r="A14" s="1"/>
      <c r="B14" s="6"/>
      <c r="C14" s="255" t="s">
        <v>550</v>
      </c>
      <c r="D14" s="255" t="s">
        <v>551</v>
      </c>
      <c r="E14" s="125" t="s">
        <v>552</v>
      </c>
      <c r="F14" s="255" t="s">
        <v>553</v>
      </c>
      <c r="G14" s="255" t="s">
        <v>32</v>
      </c>
      <c r="H14" s="376" t="s">
        <v>554</v>
      </c>
      <c r="I14" s="376" t="s">
        <v>555</v>
      </c>
      <c r="J14" s="129" t="s">
        <v>556</v>
      </c>
      <c r="K14" s="129" t="s">
        <v>557</v>
      </c>
      <c r="L14" s="489" t="s">
        <v>558</v>
      </c>
      <c r="M14" s="7"/>
      <c r="O14" s="129" t="s">
        <v>559</v>
      </c>
      <c r="P14" s="129" t="s">
        <v>560</v>
      </c>
      <c r="Q14" s="129" t="s">
        <v>561</v>
      </c>
    </row>
    <row r="15" spans="1:19" ht="45" x14ac:dyDescent="0.2">
      <c r="A15" s="1"/>
      <c r="B15" s="6"/>
      <c r="C15" s="579" t="s">
        <v>681</v>
      </c>
      <c r="D15" s="180" t="str">
        <f>VLOOKUP($P15,TOV!$A$4:$E$65536,2,FALSE)</f>
        <v>Removal of powerlines (this includes disconnection, rolling up the wires and removing the poles).  It does not inlcude the removal of substations.</v>
      </c>
      <c r="E15" s="148" t="s">
        <v>515</v>
      </c>
      <c r="F15" s="181"/>
      <c r="G15" s="149" t="s">
        <v>315</v>
      </c>
      <c r="H15" s="156">
        <f>VLOOKUP($P15,TOV!$A$4:$E$65536,4,FALSE)</f>
        <v>26157.979789322868</v>
      </c>
      <c r="I15" s="163"/>
      <c r="J15" s="136">
        <f>IF($E15="Y",IF(I15=0,F15*H15,F15*I15),"")</f>
        <v>0</v>
      </c>
      <c r="K15" s="137"/>
      <c r="L15" s="474" t="s">
        <v>682</v>
      </c>
      <c r="M15" s="7"/>
      <c r="O15" s="304">
        <f t="shared" ref="O15:O31" si="0">IF(I15="",0,1)</f>
        <v>0</v>
      </c>
      <c r="P15" s="377" t="s">
        <v>313</v>
      </c>
      <c r="Q15" s="378"/>
    </row>
    <row r="16" spans="1:19" ht="33.75" x14ac:dyDescent="0.2">
      <c r="A16" s="1"/>
      <c r="B16" s="6"/>
      <c r="C16" s="580"/>
      <c r="D16" s="130" t="str">
        <f>VLOOKUP($P16,TOV!$A$4:$E$65536,2,FALSE)</f>
        <v>Drill Holes or water bores- Grout (with concrete) cap and seal bore holes (ie. where sealing aquifers).</v>
      </c>
      <c r="E16" s="148" t="s">
        <v>515</v>
      </c>
      <c r="F16" s="155"/>
      <c r="G16" s="161" t="s">
        <v>41</v>
      </c>
      <c r="H16" s="134">
        <f>VLOOKUP($P16,TOV!$A$4:$E$65536,4,FALSE)</f>
        <v>1274.8161253437713</v>
      </c>
      <c r="I16" s="177"/>
      <c r="J16" s="136">
        <f t="shared" ref="J16" si="1">IF($E16="Y",IF(I16=0,F16*H16,F16*I16),"")</f>
        <v>0</v>
      </c>
      <c r="K16" s="157"/>
      <c r="L16" s="480" t="s">
        <v>683</v>
      </c>
      <c r="M16" s="221"/>
      <c r="N16" s="158"/>
      <c r="O16" s="258">
        <f t="shared" si="0"/>
        <v>0</v>
      </c>
      <c r="P16" s="379" t="s">
        <v>58</v>
      </c>
      <c r="Q16" s="378"/>
    </row>
    <row r="17" spans="1:41" ht="39.950000000000003" customHeight="1" x14ac:dyDescent="0.2">
      <c r="A17" s="1"/>
      <c r="B17" s="6"/>
      <c r="C17" s="580"/>
      <c r="D17" s="180" t="str">
        <f>VLOOKUP($P17,TOV!$A$4:$E$65536,2,FALSE)</f>
        <v>Pest and Weed Management</v>
      </c>
      <c r="E17" s="148" t="s">
        <v>515</v>
      </c>
      <c r="F17" s="181"/>
      <c r="G17" s="149" t="s">
        <v>47</v>
      </c>
      <c r="H17" s="156">
        <f>VLOOKUP($P17,TOV!$A$4:$E$65536,4,FALSE)</f>
        <v>510.96570241360388</v>
      </c>
      <c r="I17" s="163"/>
      <c r="J17" s="136">
        <f>IF($E17="Y",IF(I17=0,F17*H17,F17*I17),"")</f>
        <v>0</v>
      </c>
      <c r="K17" s="137"/>
      <c r="L17" s="474" t="s">
        <v>684</v>
      </c>
      <c r="M17" s="7"/>
      <c r="O17" s="304">
        <f t="shared" si="0"/>
        <v>0</v>
      </c>
      <c r="P17" s="377" t="s">
        <v>149</v>
      </c>
      <c r="Q17" s="378"/>
    </row>
    <row r="18" spans="1:41" ht="39.950000000000003" customHeight="1" x14ac:dyDescent="0.2">
      <c r="A18" s="102"/>
      <c r="B18" s="218"/>
      <c r="C18" s="580"/>
      <c r="D18" s="230" t="str">
        <f>VLOOKUP($P18,TOV!$A$4:$E$65536,2,FALSE)</f>
        <v>Remove Rail Loop and spur, including cutting and removing the tracks, sleepers and ballast material.</v>
      </c>
      <c r="E18" s="148" t="s">
        <v>515</v>
      </c>
      <c r="F18" s="181"/>
      <c r="G18" s="161" t="s">
        <v>101</v>
      </c>
      <c r="H18" s="156">
        <f>VLOOKUP($P18,TOV!$A$4:$E$65536,4,FALSE)</f>
        <v>66.425541313768505</v>
      </c>
      <c r="I18" s="163"/>
      <c r="J18" s="136">
        <f>IF($E18="Y",IF(I18=0,F18*H18,F18*I18),"")</f>
        <v>0</v>
      </c>
      <c r="K18" s="137"/>
      <c r="L18" s="475" t="s">
        <v>685</v>
      </c>
      <c r="M18" s="162"/>
      <c r="N18" s="204"/>
      <c r="O18" s="159">
        <f t="shared" si="0"/>
        <v>0</v>
      </c>
      <c r="P18" s="160" t="s">
        <v>343</v>
      </c>
      <c r="Q18" s="234"/>
      <c r="R18" s="380"/>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row>
    <row r="19" spans="1:41" ht="39.950000000000003" customHeight="1" x14ac:dyDescent="0.2">
      <c r="A19" s="102"/>
      <c r="B19" s="218"/>
      <c r="C19" s="580"/>
      <c r="D19" s="130" t="str">
        <f>VLOOKUP($P19,TOV!$A$4:$E$65536,2,FALSE)</f>
        <v>Hydro-seeding with straw mulching and bitumen tack.</v>
      </c>
      <c r="E19" s="148" t="s">
        <v>515</v>
      </c>
      <c r="F19" s="142"/>
      <c r="G19" s="149" t="s">
        <v>135</v>
      </c>
      <c r="H19" s="134">
        <f>VLOOKUP($P19,TOV!$A$4:$E$65536,4,FALSE)</f>
        <v>1.5588784141431984</v>
      </c>
      <c r="I19" s="163"/>
      <c r="J19" s="136">
        <f>IF($E19="Y",IF(I19=0,F19*H19,F19*I19),"")</f>
        <v>0</v>
      </c>
      <c r="K19" s="137"/>
      <c r="L19" s="474" t="s">
        <v>686</v>
      </c>
      <c r="M19" s="221"/>
      <c r="N19" s="16"/>
      <c r="O19" s="159">
        <f t="shared" si="0"/>
        <v>0</v>
      </c>
      <c r="P19" s="160" t="s">
        <v>133</v>
      </c>
      <c r="Q19" s="234"/>
      <c r="R19" s="38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row>
    <row r="20" spans="1:41" ht="39.950000000000003" customHeight="1" x14ac:dyDescent="0.2">
      <c r="A20" s="102"/>
      <c r="B20" s="218"/>
      <c r="C20" s="580"/>
      <c r="D20" s="130" t="str">
        <f>VLOOKUP($P20,TOV!$A$4:$E$65536,2,FALSE)</f>
        <v>Installation of geotextile/geofabric layer</v>
      </c>
      <c r="E20" s="148" t="s">
        <v>515</v>
      </c>
      <c r="F20" s="155"/>
      <c r="G20" s="161" t="s">
        <v>47</v>
      </c>
      <c r="H20" s="134">
        <f>VLOOKUP($P20,TOV!$A$4:$E$65536,4,FALSE)</f>
        <v>25965.050999999992</v>
      </c>
      <c r="I20" s="177"/>
      <c r="J20" s="136">
        <f t="shared" ref="J20" si="2">IF($E20="Y",IF(I20=0,F20*H20,F20*I20),"")</f>
        <v>0</v>
      </c>
      <c r="K20" s="157"/>
      <c r="L20" s="480" t="s">
        <v>687</v>
      </c>
      <c r="M20" s="221"/>
      <c r="N20" s="16"/>
      <c r="O20" s="159">
        <f>IF(I20="",0,1)</f>
        <v>0</v>
      </c>
      <c r="P20" s="160" t="s">
        <v>502</v>
      </c>
      <c r="Q20" s="234"/>
      <c r="R20" s="38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row>
    <row r="21" spans="1:41" ht="39.950000000000003" customHeight="1" x14ac:dyDescent="0.2">
      <c r="A21" s="214"/>
      <c r="B21" s="215"/>
      <c r="C21" s="580"/>
      <c r="D21" s="130" t="str">
        <f>VLOOKUP($P21,TOV!$A$4:$E$65536,2,FALSE)</f>
        <v>Installation of sediment fence</v>
      </c>
      <c r="E21" s="148" t="s">
        <v>515</v>
      </c>
      <c r="F21" s="142"/>
      <c r="G21" s="149" t="s">
        <v>688</v>
      </c>
      <c r="H21" s="134">
        <f>VLOOKUP($P21,TOV!$A$4:$E$65536,4,FALSE)</f>
        <v>8.6864169410312648</v>
      </c>
      <c r="I21" s="163"/>
      <c r="J21" s="136">
        <f>IF($E21="Y",IF(I21=0,F21*H21,F21*I21),"")</f>
        <v>0</v>
      </c>
      <c r="K21" s="137"/>
      <c r="L21" s="474" t="s">
        <v>689</v>
      </c>
      <c r="M21" s="302"/>
      <c r="N21" s="158"/>
      <c r="O21" s="258">
        <f t="shared" si="0"/>
        <v>0</v>
      </c>
      <c r="P21" s="379" t="s">
        <v>456</v>
      </c>
      <c r="Q21" s="306"/>
    </row>
    <row r="22" spans="1:41" ht="39.950000000000003" customHeight="1" x14ac:dyDescent="0.2">
      <c r="A22" s="214"/>
      <c r="B22" s="215"/>
      <c r="C22" s="580"/>
      <c r="D22" s="130" t="str">
        <f>VLOOKUP($P22,TOV!$A$4:$E$65536,2,FALSE)</f>
        <v>Site security and monitoring of the site during the rehabilitation works period</v>
      </c>
      <c r="E22" s="148" t="s">
        <v>515</v>
      </c>
      <c r="F22" s="155"/>
      <c r="G22" s="161" t="s">
        <v>41</v>
      </c>
      <c r="H22" s="134" t="str">
        <f>VLOOKUP($P22,TOV!$A$4:$E$65536,4,FALSE)</f>
        <v>Use 1st principles to build a rate</v>
      </c>
      <c r="I22" s="177"/>
      <c r="J22" s="136">
        <f>IF(E22="Y",F22*I22, 0)</f>
        <v>0</v>
      </c>
      <c r="K22" s="157"/>
      <c r="L22" s="480" t="s">
        <v>690</v>
      </c>
      <c r="M22" s="221"/>
      <c r="N22" s="16"/>
      <c r="O22" s="159">
        <f>IF(I22="",0,1)</f>
        <v>0</v>
      </c>
      <c r="P22" s="160" t="s">
        <v>504</v>
      </c>
      <c r="Q22" s="306"/>
    </row>
    <row r="23" spans="1:41" ht="36" customHeight="1" x14ac:dyDescent="0.2">
      <c r="A23" s="1"/>
      <c r="B23" s="6"/>
      <c r="C23" s="580"/>
      <c r="D23" s="130" t="str">
        <f>VLOOKUP($P23,TOV!$A$4:$E$65536,2,FALSE)</f>
        <v>Monitoring and Maintenance Costs During the Rehabilitation Works Period</v>
      </c>
      <c r="E23" s="148" t="s">
        <v>515</v>
      </c>
      <c r="F23" s="382"/>
      <c r="G23" s="143" t="s">
        <v>41</v>
      </c>
      <c r="H23" s="134" t="str">
        <f>VLOOKUP($P23,TOV!$A$4:$E$65536,4,FALSE)</f>
        <v>Use 1st principles to build a rate</v>
      </c>
      <c r="I23" s="383"/>
      <c r="J23" s="384">
        <f>IF(E23="Y",F23*I23,0)</f>
        <v>0</v>
      </c>
      <c r="K23" s="385"/>
      <c r="L23" s="480" t="s">
        <v>691</v>
      </c>
      <c r="M23" s="7"/>
      <c r="O23" s="258">
        <f t="shared" si="0"/>
        <v>0</v>
      </c>
      <c r="P23" s="379" t="s">
        <v>462</v>
      </c>
      <c r="Q23" s="386"/>
    </row>
    <row r="24" spans="1:41" ht="36" customHeight="1" x14ac:dyDescent="0.2">
      <c r="A24" s="1"/>
      <c r="B24" s="6"/>
      <c r="C24" s="580"/>
      <c r="D24" s="130" t="str">
        <f>VLOOKUP($P24,TOV!$A$4:$E$65536,2,FALSE)</f>
        <v>Any Other Costs That Would be Reasonably Expected To Be Required to Rehabilitate the Site and are not Covered Elsewhere in This Calculator</v>
      </c>
      <c r="E24" s="148" t="s">
        <v>515</v>
      </c>
      <c r="F24" s="387"/>
      <c r="G24" s="149" t="s">
        <v>41</v>
      </c>
      <c r="H24" s="134" t="str">
        <f>VLOOKUP($P24,TOV!$A$4:$E$65536,4,FALSE)</f>
        <v>Use 1st principles to build a rate</v>
      </c>
      <c r="I24" s="324"/>
      <c r="J24" s="384">
        <f>IF(E24="Y",F24*I24,0)</f>
        <v>0</v>
      </c>
      <c r="K24" s="325"/>
      <c r="L24" s="474" t="s">
        <v>691</v>
      </c>
      <c r="M24" s="7"/>
      <c r="O24" s="258">
        <f t="shared" si="0"/>
        <v>0</v>
      </c>
      <c r="P24" s="379" t="s">
        <v>464</v>
      </c>
      <c r="Q24" s="378"/>
    </row>
    <row r="25" spans="1:41" ht="36" customHeight="1" x14ac:dyDescent="0.2">
      <c r="A25" s="1"/>
      <c r="B25" s="6"/>
      <c r="C25" s="580"/>
      <c r="D25" s="130" t="str">
        <f>VLOOKUP($P25,TOV!$A$4:$E$65536,2,FALSE)</f>
        <v>Engagement of an EPA accredited environmental auditor to set environmental performance requirements pre rehabilitation works and to verify performance post rehabilitation works</v>
      </c>
      <c r="E25" s="148" t="s">
        <v>515</v>
      </c>
      <c r="F25" s="387"/>
      <c r="G25" s="149" t="s">
        <v>41</v>
      </c>
      <c r="H25" s="134" t="str">
        <f>VLOOKUP($P25,TOV!$A$4:$E$65536,4,FALSE)</f>
        <v>Use 1st principles to build a rate</v>
      </c>
      <c r="I25" s="324"/>
      <c r="J25" s="384">
        <f>IF(E25="Y",F25*I25,0)</f>
        <v>0</v>
      </c>
      <c r="K25" s="325"/>
      <c r="L25" s="474" t="s">
        <v>691</v>
      </c>
      <c r="M25" s="7"/>
      <c r="O25" s="258">
        <f t="shared" si="0"/>
        <v>0</v>
      </c>
      <c r="P25" s="379" t="s">
        <v>466</v>
      </c>
      <c r="Q25" s="378"/>
    </row>
    <row r="26" spans="1:41" ht="33.75" x14ac:dyDescent="0.2">
      <c r="A26" s="1"/>
      <c r="B26" s="6"/>
      <c r="C26" s="580"/>
      <c r="D26" s="130" t="str">
        <f>VLOOKUP($P26,TOV!$A$4:$E$65536,2,FALSE)</f>
        <v>Environmental sampling - identify any actual or potential contaminants (e.g. arsenic, salt, acid, cyanide)</v>
      </c>
      <c r="E26" s="148" t="s">
        <v>515</v>
      </c>
      <c r="F26" s="387"/>
      <c r="G26" s="149" t="s">
        <v>41</v>
      </c>
      <c r="H26" s="134" t="str">
        <f>VLOOKUP($P26,TOV!$A$4:$E$65536,4,FALSE)</f>
        <v>Use 1st principles to build a rate</v>
      </c>
      <c r="I26" s="324"/>
      <c r="J26" s="384">
        <f>IF(E26="Y",F26*I26,0)</f>
        <v>0</v>
      </c>
      <c r="K26" s="325"/>
      <c r="L26" s="474" t="s">
        <v>691</v>
      </c>
      <c r="M26" s="7"/>
      <c r="O26" s="258">
        <f t="shared" si="0"/>
        <v>0</v>
      </c>
      <c r="P26" s="379" t="s">
        <v>468</v>
      </c>
      <c r="Q26" s="378"/>
    </row>
    <row r="27" spans="1:41" ht="36" customHeight="1" x14ac:dyDescent="0.2">
      <c r="A27" s="1"/>
      <c r="B27" s="6"/>
      <c r="C27" s="580"/>
      <c r="D27" s="130" t="str">
        <f>VLOOKUP($P27,TOV!$A$4:$E$65536,2,FALSE)</f>
        <v>Groundwater management – quality and quantity of groundwater</v>
      </c>
      <c r="E27" s="148" t="s">
        <v>515</v>
      </c>
      <c r="F27" s="387"/>
      <c r="G27" s="149" t="s">
        <v>41</v>
      </c>
      <c r="H27" s="134" t="str">
        <f>VLOOKUP($P27,TOV!$A$4:$E$65536,4,FALSE)</f>
        <v>Use 1st principles to build a rate</v>
      </c>
      <c r="I27" s="324"/>
      <c r="J27" s="384">
        <f>IF(E27="Y",F27*I27,0)</f>
        <v>0</v>
      </c>
      <c r="K27" s="325"/>
      <c r="L27" s="474" t="s">
        <v>691</v>
      </c>
      <c r="M27" s="7"/>
      <c r="O27" s="258">
        <f t="shared" si="0"/>
        <v>0</v>
      </c>
      <c r="P27" s="379" t="s">
        <v>470</v>
      </c>
      <c r="Q27" s="378"/>
    </row>
    <row r="28" spans="1:41" ht="36" customHeight="1" x14ac:dyDescent="0.2">
      <c r="A28" s="1"/>
      <c r="B28" s="6"/>
      <c r="C28" s="580"/>
      <c r="D28" s="388" t="s">
        <v>692</v>
      </c>
      <c r="E28" s="321"/>
      <c r="F28" s="387"/>
      <c r="G28" s="323"/>
      <c r="H28" s="725" t="s">
        <v>693</v>
      </c>
      <c r="I28" s="324"/>
      <c r="J28" s="384">
        <f>F28*I28</f>
        <v>0</v>
      </c>
      <c r="K28" s="325"/>
      <c r="L28" s="474" t="s">
        <v>623</v>
      </c>
      <c r="M28" s="7"/>
      <c r="O28" s="304">
        <f t="shared" si="0"/>
        <v>0</v>
      </c>
      <c r="P28" s="389"/>
      <c r="Q28" s="378"/>
    </row>
    <row r="29" spans="1:41" ht="12.75" x14ac:dyDescent="0.2">
      <c r="A29" s="1"/>
      <c r="B29" s="6"/>
      <c r="C29" s="580"/>
      <c r="D29" s="388" t="s">
        <v>694</v>
      </c>
      <c r="E29" s="321"/>
      <c r="F29" s="387"/>
      <c r="G29" s="323"/>
      <c r="H29" s="725"/>
      <c r="I29" s="324"/>
      <c r="J29" s="385">
        <f>F29*I29</f>
        <v>0</v>
      </c>
      <c r="K29" s="325"/>
      <c r="L29" s="474" t="s">
        <v>623</v>
      </c>
      <c r="M29" s="7"/>
      <c r="O29" s="304">
        <f t="shared" si="0"/>
        <v>0</v>
      </c>
      <c r="P29" s="389"/>
      <c r="Q29" s="378"/>
    </row>
    <row r="30" spans="1:41" ht="12.75" x14ac:dyDescent="0.2">
      <c r="A30" s="1"/>
      <c r="B30" s="6"/>
      <c r="C30" s="580"/>
      <c r="D30" s="388" t="s">
        <v>695</v>
      </c>
      <c r="E30" s="321"/>
      <c r="F30" s="387"/>
      <c r="G30" s="323"/>
      <c r="H30" s="725"/>
      <c r="I30" s="324"/>
      <c r="J30" s="385">
        <f>F30*I30</f>
        <v>0</v>
      </c>
      <c r="K30" s="325"/>
      <c r="L30" s="474" t="s">
        <v>623</v>
      </c>
      <c r="M30" s="7"/>
      <c r="O30" s="304">
        <f t="shared" si="0"/>
        <v>0</v>
      </c>
      <c r="P30" s="389"/>
      <c r="Q30" s="378"/>
    </row>
    <row r="31" spans="1:41" ht="13.5" thickBot="1" x14ac:dyDescent="0.25">
      <c r="A31" s="1"/>
      <c r="B31" s="6"/>
      <c r="C31" s="619"/>
      <c r="D31" s="390" t="s">
        <v>696</v>
      </c>
      <c r="E31" s="328"/>
      <c r="F31" s="391"/>
      <c r="G31" s="330"/>
      <c r="H31" s="726"/>
      <c r="I31" s="331"/>
      <c r="J31" s="385">
        <f>F31*I31</f>
        <v>0</v>
      </c>
      <c r="K31" s="392"/>
      <c r="L31" s="476" t="s">
        <v>623</v>
      </c>
      <c r="M31" s="7"/>
      <c r="O31" s="334">
        <f t="shared" si="0"/>
        <v>0</v>
      </c>
      <c r="P31" s="393"/>
      <c r="Q31" s="394"/>
    </row>
    <row r="32" spans="1:41" ht="13.5" thickBot="1" x14ac:dyDescent="0.25">
      <c r="A32" s="1"/>
      <c r="B32" s="6"/>
      <c r="C32" s="260"/>
      <c r="D32" s="270"/>
      <c r="E32" s="270"/>
      <c r="F32" s="301" t="s">
        <v>573</v>
      </c>
      <c r="G32" s="263"/>
      <c r="H32" s="264"/>
      <c r="I32" s="264"/>
      <c r="J32" s="265">
        <f>SUM(J15:J31)</f>
        <v>0</v>
      </c>
      <c r="K32" s="265"/>
      <c r="L32" s="477"/>
      <c r="M32" s="7"/>
      <c r="O32" s="569"/>
      <c r="P32" s="570"/>
      <c r="Q32" s="571"/>
    </row>
    <row r="33" spans="1:17" ht="15" x14ac:dyDescent="0.2">
      <c r="A33" s="1"/>
      <c r="B33" s="6"/>
      <c r="C33" s="214"/>
      <c r="D33" s="214"/>
      <c r="E33" s="214"/>
      <c r="F33" s="214"/>
      <c r="G33" s="214"/>
      <c r="H33" s="214"/>
      <c r="I33" s="214"/>
      <c r="J33" s="214"/>
      <c r="K33" s="214"/>
      <c r="L33" s="491"/>
      <c r="M33" s="7"/>
      <c r="O33" s="1"/>
      <c r="P33" s="1"/>
      <c r="Q33" s="1"/>
    </row>
    <row r="34" spans="1:17" ht="15.75" x14ac:dyDescent="0.2">
      <c r="A34" s="1"/>
      <c r="B34" s="6"/>
      <c r="C34" s="246" t="s">
        <v>627</v>
      </c>
      <c r="D34" s="655" t="s">
        <v>628</v>
      </c>
      <c r="E34" s="655"/>
      <c r="F34" s="656"/>
      <c r="G34" s="656"/>
      <c r="H34" s="656"/>
      <c r="I34" s="273"/>
      <c r="J34" s="374">
        <f>SUM(J32)</f>
        <v>0</v>
      </c>
      <c r="K34" s="374"/>
      <c r="L34" s="491"/>
      <c r="M34" s="7"/>
      <c r="O34" s="1"/>
      <c r="P34" s="1"/>
      <c r="Q34" s="1"/>
    </row>
    <row r="35" spans="1:17" ht="15" x14ac:dyDescent="0.2">
      <c r="A35" s="1"/>
      <c r="B35" s="50"/>
      <c r="C35" s="275"/>
      <c r="D35" s="275"/>
      <c r="E35" s="275"/>
      <c r="F35" s="338"/>
      <c r="G35" s="275"/>
      <c r="H35" s="275"/>
      <c r="I35" s="275"/>
      <c r="J35" s="275"/>
      <c r="K35" s="275"/>
      <c r="L35" s="492"/>
      <c r="M35" s="33"/>
      <c r="O35" s="1"/>
      <c r="P35" s="1"/>
      <c r="Q35" s="1"/>
    </row>
    <row r="36" spans="1:17" ht="15" x14ac:dyDescent="0.25">
      <c r="A36" s="1"/>
      <c r="B36" s="1"/>
      <c r="C36" s="1"/>
      <c r="D36" s="1"/>
      <c r="E36" s="1"/>
      <c r="F36" s="1"/>
      <c r="G36" s="1"/>
      <c r="H36" s="1"/>
      <c r="I36" s="1"/>
      <c r="J36" s="1"/>
      <c r="K36" s="1"/>
      <c r="L36" s="457"/>
      <c r="M36" s="1"/>
      <c r="O36" s="1"/>
      <c r="P36" s="1"/>
      <c r="Q36" s="1"/>
    </row>
  </sheetData>
  <mergeCells count="14">
    <mergeCell ref="C15:C31"/>
    <mergeCell ref="H28:H31"/>
    <mergeCell ref="O32:Q32"/>
    <mergeCell ref="D34:H34"/>
    <mergeCell ref="C3:L3"/>
    <mergeCell ref="C8:D12"/>
    <mergeCell ref="F8:I8"/>
    <mergeCell ref="J8:K8"/>
    <mergeCell ref="F9:I9"/>
    <mergeCell ref="J9:K9"/>
    <mergeCell ref="F10:I10"/>
    <mergeCell ref="J10:K10"/>
    <mergeCell ref="F11:I11"/>
    <mergeCell ref="J11:K11"/>
  </mergeCells>
  <conditionalFormatting sqref="F15:F22">
    <cfRule type="expression" dxfId="5" priority="2" stopIfTrue="1">
      <formula>$E15="N"</formula>
    </cfRule>
    <cfRule type="expression" dxfId="4" priority="3" stopIfTrue="1">
      <formula>$E15="Y"</formula>
    </cfRule>
  </conditionalFormatting>
  <conditionalFormatting sqref="J15:J22">
    <cfRule type="expression" dxfId="3" priority="1" stopIfTrue="1">
      <formula>$O15=1</formula>
    </cfRule>
  </conditionalFormatting>
  <conditionalFormatting sqref="K15:K22">
    <cfRule type="expression" dxfId="2" priority="4" stopIfTrue="1">
      <formula>$O15=1</formula>
    </cfRule>
  </conditionalFormatting>
  <dataValidations count="1">
    <dataValidation type="list" allowBlank="1" showInputMessage="1" showErrorMessage="1" sqref="E15:E27" xr:uid="{3DA12B9B-1017-40A4-88D3-3FBAE1ECB1CF}">
      <formula1>Y_N</formula1>
    </dataValidation>
  </dataValidations>
  <printOptions horizontalCentered="1"/>
  <pageMargins left="0.59055118110236227" right="0.59055118110236227" top="0.59055118110236227" bottom="0.59055118110236227" header="0.51181102362204722" footer="0.51181102362204722"/>
  <pageSetup paperSize="8" orientation="landscape" r:id="rId1"/>
  <headerFooter alignWithMargins="0">
    <oddFooter>&amp;C_x000D_&amp;1#&amp;"Calibri"&amp;12&amp;K000000 OFFICIAL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C63D-3037-41AD-B8FD-00AA43B517A7}">
  <sheetPr codeName="Sheet05">
    <pageSetUpPr fitToPage="1"/>
  </sheetPr>
  <dimension ref="A1:AN26"/>
  <sheetViews>
    <sheetView topLeftCell="C3" workbookViewId="0">
      <selection activeCell="K17" sqref="K17"/>
    </sheetView>
  </sheetViews>
  <sheetFormatPr defaultColWidth="0" defaultRowHeight="0" customHeight="1" zeroHeight="1" x14ac:dyDescent="0.25"/>
  <cols>
    <col min="1" max="2" width="2.42578125" style="2" hidden="1" customWidth="1"/>
    <col min="3" max="3" width="25.85546875" style="2" customWidth="1"/>
    <col min="4" max="4" width="33.7109375" style="2" customWidth="1"/>
    <col min="5" max="5" width="9" style="2" customWidth="1"/>
    <col min="6" max="6" width="7.42578125" style="2" customWidth="1"/>
    <col min="7" max="7" width="4" style="2" customWidth="1"/>
    <col min="8" max="9" width="11.140625" style="2" customWidth="1"/>
    <col min="10" max="10" width="15.7109375" style="2" customWidth="1"/>
    <col min="11" max="11" width="28.7109375" style="2" customWidth="1"/>
    <col min="12" max="12" width="40.140625" customWidth="1"/>
    <col min="13" max="13" width="2.140625" style="2" customWidth="1"/>
    <col min="14" max="14" width="2.42578125" style="1" customWidth="1"/>
    <col min="15" max="15" width="4.5703125" style="1" hidden="1" customWidth="1"/>
    <col min="16" max="16" width="4.5703125" style="411" hidden="1" customWidth="1"/>
    <col min="17" max="17" width="4.5703125" style="121" hidden="1" customWidth="1"/>
    <col min="18" max="18" width="2.42578125" style="411" hidden="1" customWidth="1"/>
    <col min="19" max="19" width="8.85546875" style="121" hidden="1" customWidth="1"/>
    <col min="20" max="16384" width="8.85546875" style="2" hidden="1"/>
  </cols>
  <sheetData>
    <row r="1" spans="1:40" ht="12.75" hidden="1" customHeight="1" x14ac:dyDescent="0.2">
      <c r="A1" s="214"/>
      <c r="B1" s="214"/>
      <c r="C1" s="214"/>
      <c r="D1" s="214"/>
      <c r="E1" s="214"/>
      <c r="F1" s="214"/>
      <c r="G1" s="214"/>
      <c r="H1" s="214"/>
      <c r="I1" s="214"/>
      <c r="J1" s="214"/>
      <c r="K1" s="214"/>
      <c r="L1" s="503"/>
      <c r="M1" s="214"/>
      <c r="N1" s="16"/>
      <c r="O1" s="395"/>
      <c r="P1" s="395"/>
      <c r="Q1" s="107"/>
      <c r="R1" s="395"/>
      <c r="S1" s="2"/>
    </row>
    <row r="2" spans="1:40" ht="12.75" hidden="1" customHeight="1" x14ac:dyDescent="0.2">
      <c r="A2" s="214"/>
      <c r="B2" s="280"/>
      <c r="C2" s="281"/>
      <c r="D2" s="281"/>
      <c r="E2" s="281"/>
      <c r="F2" s="281"/>
      <c r="G2" s="281"/>
      <c r="H2" s="281"/>
      <c r="I2" s="281"/>
      <c r="J2" s="281"/>
      <c r="K2" s="281"/>
      <c r="L2" s="504"/>
      <c r="M2" s="284"/>
      <c r="N2" s="16"/>
      <c r="O2" s="395"/>
      <c r="P2" s="395"/>
      <c r="Q2" s="107"/>
      <c r="R2" s="395"/>
      <c r="S2" s="2"/>
    </row>
    <row r="3" spans="1:40" ht="23.25" thickBot="1" x14ac:dyDescent="0.3">
      <c r="A3" s="214"/>
      <c r="B3" s="215"/>
      <c r="C3" s="396" t="s">
        <v>540</v>
      </c>
      <c r="D3" s="397"/>
      <c r="E3" s="397"/>
      <c r="F3" s="398"/>
      <c r="G3" s="397"/>
      <c r="H3" s="397"/>
      <c r="I3" s="397"/>
      <c r="J3" s="397"/>
      <c r="K3" s="397"/>
      <c r="L3" s="505"/>
      <c r="M3" s="302"/>
      <c r="N3" s="286"/>
      <c r="O3" s="399"/>
      <c r="P3" s="399"/>
      <c r="Q3" s="400"/>
      <c r="R3" s="401"/>
      <c r="S3" s="2"/>
    </row>
    <row r="4" spans="1:40" ht="22.5" x14ac:dyDescent="0.45">
      <c r="A4" s="89"/>
      <c r="B4" s="402"/>
      <c r="C4" s="89" t="s">
        <v>697</v>
      </c>
      <c r="D4" s="90"/>
      <c r="E4" s="91"/>
      <c r="F4" s="91"/>
      <c r="G4" s="92"/>
      <c r="H4" s="92"/>
      <c r="I4" s="89"/>
      <c r="J4" s="89"/>
      <c r="K4" s="89"/>
      <c r="L4" s="506"/>
      <c r="M4" s="403"/>
      <c r="N4" s="404"/>
      <c r="O4" s="405"/>
      <c r="P4" s="405"/>
      <c r="Q4" s="406"/>
      <c r="R4" s="401"/>
      <c r="S4" s="2"/>
    </row>
    <row r="5" spans="1:40" ht="12.75" customHeight="1" x14ac:dyDescent="0.2">
      <c r="A5" s="94"/>
      <c r="B5" s="95"/>
      <c r="C5" s="96"/>
      <c r="D5" s="97"/>
      <c r="E5" s="97"/>
      <c r="F5" s="98"/>
      <c r="G5" s="98"/>
      <c r="H5" s="99"/>
      <c r="I5" s="99"/>
      <c r="J5" s="99"/>
      <c r="K5" s="100"/>
      <c r="L5" s="464"/>
      <c r="M5" s="101"/>
      <c r="N5" s="94"/>
      <c r="O5" s="94"/>
      <c r="P5" s="94"/>
      <c r="Q5" s="1"/>
      <c r="R5" s="1"/>
      <c r="S5" s="2"/>
    </row>
    <row r="6" spans="1:40" ht="12.75" customHeight="1" x14ac:dyDescent="0.25">
      <c r="A6" s="103"/>
      <c r="B6" s="104"/>
      <c r="C6" s="105"/>
      <c r="D6" s="106"/>
      <c r="E6" s="106"/>
      <c r="G6" s="107"/>
      <c r="H6" s="107"/>
      <c r="J6" s="108"/>
      <c r="K6" s="1"/>
      <c r="L6" s="457"/>
      <c r="M6" s="109"/>
      <c r="N6" s="110"/>
      <c r="O6" s="103"/>
      <c r="P6" s="110"/>
      <c r="Q6" s="1"/>
      <c r="R6" s="1"/>
      <c r="S6" s="2"/>
    </row>
    <row r="7" spans="1:40" ht="12.75" customHeight="1" thickBot="1" x14ac:dyDescent="0.25">
      <c r="A7" s="110"/>
      <c r="B7" s="111"/>
      <c r="C7" s="112" t="s">
        <v>544</v>
      </c>
      <c r="D7" s="97"/>
      <c r="E7" s="97"/>
      <c r="F7" s="112"/>
      <c r="G7" s="98"/>
      <c r="H7" s="107"/>
      <c r="I7" s="1"/>
      <c r="J7" s="1"/>
      <c r="K7" s="1"/>
      <c r="L7" s="465" t="s">
        <v>545</v>
      </c>
      <c r="M7" s="113"/>
      <c r="N7" s="110"/>
      <c r="O7" s="110"/>
      <c r="P7" s="110"/>
      <c r="Q7" s="1"/>
      <c r="R7" s="1"/>
      <c r="S7" s="2"/>
    </row>
    <row r="8" spans="1:40" ht="12.75" customHeight="1" x14ac:dyDescent="0.2">
      <c r="A8" s="94"/>
      <c r="B8" s="95"/>
      <c r="C8" s="640"/>
      <c r="D8" s="641"/>
      <c r="E8" s="114"/>
      <c r="F8" s="112"/>
      <c r="G8" s="98"/>
      <c r="H8" s="107"/>
      <c r="I8" s="1"/>
      <c r="J8" s="647"/>
      <c r="K8" s="647"/>
      <c r="L8" s="466" t="s">
        <v>546</v>
      </c>
      <c r="M8" s="101"/>
      <c r="N8" s="94"/>
      <c r="O8" s="94"/>
      <c r="P8" s="94"/>
      <c r="Q8" s="1"/>
      <c r="R8" s="1"/>
      <c r="S8" s="2"/>
    </row>
    <row r="9" spans="1:40" ht="12.75" customHeight="1" x14ac:dyDescent="0.2">
      <c r="A9" s="94"/>
      <c r="B9" s="95"/>
      <c r="C9" s="642"/>
      <c r="D9" s="643"/>
      <c r="E9" s="114"/>
      <c r="F9" s="646"/>
      <c r="G9" s="646"/>
      <c r="H9" s="646"/>
      <c r="I9" s="646"/>
      <c r="J9" s="648"/>
      <c r="K9" s="648"/>
      <c r="L9" s="467" t="s">
        <v>547</v>
      </c>
      <c r="M9" s="101"/>
      <c r="N9" s="94"/>
      <c r="O9" s="94"/>
      <c r="P9" s="94"/>
      <c r="Q9" s="1"/>
      <c r="R9" s="1"/>
      <c r="S9" s="2"/>
    </row>
    <row r="10" spans="1:40" ht="12.75" customHeight="1" x14ac:dyDescent="0.2">
      <c r="A10" s="94"/>
      <c r="B10" s="95"/>
      <c r="C10" s="642"/>
      <c r="D10" s="643"/>
      <c r="E10" s="114"/>
      <c r="F10" s="646"/>
      <c r="G10" s="646"/>
      <c r="H10" s="646"/>
      <c r="I10" s="646"/>
      <c r="J10" s="648"/>
      <c r="K10" s="648"/>
      <c r="L10" s="468" t="s">
        <v>548</v>
      </c>
      <c r="M10" s="101"/>
      <c r="N10" s="94"/>
      <c r="O10" s="94"/>
      <c r="P10" s="94"/>
      <c r="Q10" s="1"/>
      <c r="R10" s="1"/>
      <c r="S10" s="2"/>
    </row>
    <row r="11" spans="1:40" ht="12.75" customHeight="1" x14ac:dyDescent="0.2">
      <c r="A11" s="94"/>
      <c r="B11" s="95"/>
      <c r="C11" s="642"/>
      <c r="D11" s="643"/>
      <c r="E11" s="114"/>
      <c r="F11" s="646"/>
      <c r="G11" s="646"/>
      <c r="H11" s="646"/>
      <c r="I11" s="646"/>
      <c r="J11" s="648"/>
      <c r="K11" s="648"/>
      <c r="L11" s="469" t="s">
        <v>549</v>
      </c>
      <c r="M11" s="101"/>
      <c r="N11" s="94"/>
      <c r="O11" s="94"/>
      <c r="P11" s="94"/>
      <c r="Q11" s="1"/>
      <c r="R11" s="1"/>
      <c r="S11" s="2"/>
    </row>
    <row r="12" spans="1:40" ht="12.75" customHeight="1" thickBot="1" x14ac:dyDescent="0.25">
      <c r="A12" s="107"/>
      <c r="B12" s="117"/>
      <c r="C12" s="644"/>
      <c r="D12" s="645"/>
      <c r="E12" s="97"/>
      <c r="F12" s="98"/>
      <c r="G12" s="98"/>
      <c r="H12" s="119"/>
      <c r="I12" s="119"/>
      <c r="J12" s="99"/>
      <c r="K12" s="407"/>
      <c r="L12" s="467"/>
      <c r="M12" s="120"/>
      <c r="N12" s="408"/>
      <c r="O12" s="409"/>
      <c r="P12" s="410"/>
      <c r="Q12" s="380"/>
      <c r="T12" s="121"/>
      <c r="U12" s="121"/>
      <c r="V12" s="121"/>
      <c r="W12" s="121"/>
      <c r="X12" s="121"/>
      <c r="Y12" s="121"/>
      <c r="Z12" s="121"/>
      <c r="AA12" s="121"/>
      <c r="AB12" s="121"/>
      <c r="AC12" s="121"/>
      <c r="AD12" s="121"/>
      <c r="AE12" s="121"/>
      <c r="AF12" s="121"/>
      <c r="AG12" s="121"/>
      <c r="AH12" s="121"/>
      <c r="AI12" s="121"/>
      <c r="AJ12" s="121"/>
      <c r="AK12" s="121"/>
      <c r="AL12" s="121"/>
      <c r="AM12" s="121"/>
      <c r="AN12" s="121"/>
    </row>
    <row r="13" spans="1:40" ht="13.5" thickBot="1" x14ac:dyDescent="0.25">
      <c r="A13" s="107"/>
      <c r="B13" s="117"/>
      <c r="C13" s="412"/>
      <c r="D13" s="413"/>
      <c r="E13" s="98"/>
      <c r="F13" s="98"/>
      <c r="G13" s="107"/>
      <c r="H13" s="107"/>
      <c r="I13" s="414"/>
      <c r="J13" s="116"/>
      <c r="K13" s="107"/>
      <c r="L13" s="488"/>
      <c r="M13" s="120"/>
      <c r="N13" s="102"/>
      <c r="O13" s="235"/>
      <c r="P13" s="235"/>
      <c r="Q13" s="107"/>
      <c r="S13" s="2"/>
    </row>
    <row r="14" spans="1:40" ht="21" thickBot="1" x14ac:dyDescent="0.35">
      <c r="A14" s="1"/>
      <c r="B14" s="6"/>
      <c r="C14" s="415"/>
      <c r="D14" s="416"/>
      <c r="E14" s="417"/>
      <c r="F14" s="418"/>
      <c r="G14" s="419"/>
      <c r="H14" s="418"/>
      <c r="I14" s="418" t="s">
        <v>698</v>
      </c>
      <c r="J14" s="419"/>
      <c r="K14" s="419"/>
      <c r="L14" s="507">
        <f>SUM('Summary Report'!J30:J40)</f>
        <v>2588.5108262753702</v>
      </c>
      <c r="M14" s="221"/>
      <c r="N14" s="102"/>
      <c r="O14" s="235"/>
      <c r="P14" s="235"/>
      <c r="Q14" s="107"/>
      <c r="S14" s="2"/>
    </row>
    <row r="15" spans="1:40" ht="13.5" thickBot="1" x14ac:dyDescent="0.25">
      <c r="A15" s="107"/>
      <c r="B15" s="117"/>
      <c r="C15" s="122"/>
      <c r="D15" s="97"/>
      <c r="E15" s="98"/>
      <c r="F15" s="98"/>
      <c r="G15" s="119"/>
      <c r="H15" s="99"/>
      <c r="I15" s="107"/>
      <c r="J15" s="107"/>
      <c r="K15" s="107"/>
      <c r="L15" s="488"/>
      <c r="M15" s="120"/>
      <c r="N15" s="102"/>
      <c r="O15" s="420"/>
      <c r="P15" s="235"/>
      <c r="Q15" s="96"/>
      <c r="T15" s="121"/>
    </row>
    <row r="16" spans="1:40" ht="23.25" thickBot="1" x14ac:dyDescent="0.25">
      <c r="A16" s="96"/>
      <c r="B16" s="290"/>
      <c r="C16" s="254" t="s">
        <v>112</v>
      </c>
      <c r="D16" s="254" t="s">
        <v>551</v>
      </c>
      <c r="E16" s="125" t="s">
        <v>552</v>
      </c>
      <c r="F16" s="254" t="s">
        <v>553</v>
      </c>
      <c r="G16" s="254" t="s">
        <v>32</v>
      </c>
      <c r="H16" s="376" t="s">
        <v>554</v>
      </c>
      <c r="I16" s="376" t="s">
        <v>555</v>
      </c>
      <c r="J16" s="129" t="s">
        <v>556</v>
      </c>
      <c r="K16" s="129" t="s">
        <v>557</v>
      </c>
      <c r="L16" s="489" t="s">
        <v>558</v>
      </c>
      <c r="M16" s="296"/>
      <c r="N16" s="16"/>
      <c r="O16" s="129" t="s">
        <v>559</v>
      </c>
      <c r="P16" s="129" t="s">
        <v>560</v>
      </c>
      <c r="Q16" s="129" t="s">
        <v>561</v>
      </c>
      <c r="T16" s="121"/>
    </row>
    <row r="17" spans="1:20" ht="11.25" customHeight="1" x14ac:dyDescent="0.2">
      <c r="A17" s="107"/>
      <c r="B17" s="117"/>
      <c r="C17" s="614" t="s">
        <v>699</v>
      </c>
      <c r="D17" s="748" t="str">
        <f>VLOOKUP($P17,TOV!$A$4:$E$65536,2,FALSE)</f>
        <v>Mobilisation &amp; Demobilisation (third party contractor rates apply).</v>
      </c>
      <c r="E17" s="750" t="s">
        <v>515</v>
      </c>
      <c r="F17" s="752">
        <v>1</v>
      </c>
      <c r="G17" s="754" t="s">
        <v>153</v>
      </c>
      <c r="H17" s="746" t="str">
        <f>VLOOKUP($P17,TOV!$A$4:$E$65536,4,FALSE)</f>
        <v>Select from List</v>
      </c>
      <c r="I17" s="739"/>
      <c r="J17" s="586" t="str">
        <f>IF($E17="Y",IF(I17=0,IF(H17="Select From List","",$L$14*H17),F17*I17),"")</f>
        <v/>
      </c>
      <c r="K17" s="157" t="s">
        <v>518</v>
      </c>
      <c r="L17" s="675" t="s">
        <v>700</v>
      </c>
      <c r="M17" s="120"/>
      <c r="N17" s="741"/>
      <c r="O17" s="742">
        <f>IF(I17=0,0,1)</f>
        <v>0</v>
      </c>
      <c r="P17" s="744" t="str">
        <f>IF(Q17=1,"X137",IF(Q17=2,"X138",IF(Q17=3,"X139",IF(Q17=4,"X140",IF(Q17=5,"X141","X137")))))</f>
        <v>X137</v>
      </c>
      <c r="Q17" s="727">
        <f>VLOOKUP(K17,Select_Distance_Index,2,FALSE)</f>
        <v>1</v>
      </c>
      <c r="R17" s="729"/>
      <c r="T17" s="121"/>
    </row>
    <row r="18" spans="1:20" ht="61.5" customHeight="1" thickBot="1" x14ac:dyDescent="0.25">
      <c r="A18" s="107"/>
      <c r="B18" s="117"/>
      <c r="C18" s="614"/>
      <c r="D18" s="749"/>
      <c r="E18" s="751"/>
      <c r="F18" s="753"/>
      <c r="G18" s="604"/>
      <c r="H18" s="747"/>
      <c r="I18" s="740"/>
      <c r="J18" s="587"/>
      <c r="K18" s="421"/>
      <c r="L18" s="589"/>
      <c r="M18" s="120"/>
      <c r="N18" s="741"/>
      <c r="O18" s="743"/>
      <c r="P18" s="745"/>
      <c r="Q18" s="728"/>
      <c r="R18" s="729"/>
      <c r="T18" s="121"/>
    </row>
    <row r="19" spans="1:20" ht="39.950000000000003" customHeight="1" x14ac:dyDescent="0.2">
      <c r="A19" s="107"/>
      <c r="B19" s="117"/>
      <c r="C19" s="614"/>
      <c r="D19" s="180" t="s">
        <v>701</v>
      </c>
      <c r="E19" s="175" t="s">
        <v>515</v>
      </c>
      <c r="F19" s="422">
        <v>0.05</v>
      </c>
      <c r="G19" s="161" t="s">
        <v>153</v>
      </c>
      <c r="H19" s="730" t="s">
        <v>702</v>
      </c>
      <c r="I19" s="731"/>
      <c r="J19" s="241">
        <f>IF($E19="Y",$L$14*F19,"")</f>
        <v>129.42554131376852</v>
      </c>
      <c r="K19" s="423"/>
      <c r="L19" s="475" t="s">
        <v>703</v>
      </c>
      <c r="M19" s="120"/>
      <c r="N19" s="158"/>
      <c r="O19" s="424"/>
      <c r="P19" s="425"/>
      <c r="Q19" s="426"/>
      <c r="T19" s="121"/>
    </row>
    <row r="20" spans="1:20" ht="45" x14ac:dyDescent="0.2">
      <c r="A20" s="214"/>
      <c r="B20" s="215"/>
      <c r="C20" s="614"/>
      <c r="D20" s="180" t="s">
        <v>704</v>
      </c>
      <c r="E20" s="141" t="s">
        <v>515</v>
      </c>
      <c r="F20" s="422">
        <v>0.1</v>
      </c>
      <c r="G20" s="161" t="s">
        <v>153</v>
      </c>
      <c r="H20" s="732"/>
      <c r="I20" s="733"/>
      <c r="J20" s="241">
        <f>IF($E20="Y",$L$14*F20,"")</f>
        <v>258.85108262753704</v>
      </c>
      <c r="K20" s="423"/>
      <c r="L20" s="475" t="s">
        <v>705</v>
      </c>
      <c r="M20" s="302"/>
      <c r="N20" s="158"/>
      <c r="O20" s="424"/>
      <c r="P20" s="425"/>
      <c r="Q20" s="426"/>
      <c r="T20" s="121"/>
    </row>
    <row r="21" spans="1:20" ht="39.950000000000003" customHeight="1" thickBot="1" x14ac:dyDescent="0.25">
      <c r="A21" s="214"/>
      <c r="B21" s="215"/>
      <c r="C21" s="614"/>
      <c r="D21" s="183" t="s">
        <v>155</v>
      </c>
      <c r="E21" s="427" t="s">
        <v>515</v>
      </c>
      <c r="F21" s="428">
        <v>0.1</v>
      </c>
      <c r="G21" s="429" t="s">
        <v>153</v>
      </c>
      <c r="H21" s="734"/>
      <c r="I21" s="735"/>
      <c r="J21" s="241">
        <f>IF($E21="Y",$L$14*F21,"")</f>
        <v>258.85108262753704</v>
      </c>
      <c r="K21" s="430"/>
      <c r="L21" s="508"/>
      <c r="M21" s="302"/>
      <c r="N21" s="158"/>
      <c r="O21" s="431"/>
      <c r="P21" s="432"/>
      <c r="Q21" s="433"/>
      <c r="T21" s="121"/>
    </row>
    <row r="22" spans="1:20" ht="13.5" thickBot="1" x14ac:dyDescent="0.25">
      <c r="A22" s="107"/>
      <c r="B22" s="117"/>
      <c r="C22" s="434"/>
      <c r="D22" s="435"/>
      <c r="E22" s="435"/>
      <c r="F22" s="436" t="s">
        <v>573</v>
      </c>
      <c r="G22" s="437"/>
      <c r="H22" s="438"/>
      <c r="I22" s="438"/>
      <c r="J22" s="439">
        <f>SUM(J17:J21)</f>
        <v>647.12770656884254</v>
      </c>
      <c r="K22" s="439"/>
      <c r="L22" s="509"/>
      <c r="M22" s="120"/>
      <c r="N22" s="158"/>
      <c r="O22" s="736"/>
      <c r="P22" s="737"/>
      <c r="Q22" s="738"/>
      <c r="T22" s="121"/>
    </row>
    <row r="23" spans="1:20" ht="12.75" x14ac:dyDescent="0.2">
      <c r="A23" s="214"/>
      <c r="B23" s="215"/>
      <c r="C23" s="214"/>
      <c r="D23" s="214"/>
      <c r="E23" s="214"/>
      <c r="F23" s="214"/>
      <c r="G23" s="214"/>
      <c r="H23" s="214"/>
      <c r="I23" s="214"/>
      <c r="J23" s="214"/>
      <c r="K23" s="214"/>
      <c r="L23" s="467"/>
      <c r="M23" s="302"/>
      <c r="N23" s="158"/>
      <c r="O23" s="440"/>
      <c r="P23" s="441"/>
      <c r="Q23" s="441"/>
      <c r="T23" s="121"/>
    </row>
    <row r="24" spans="1:20" ht="15.75" x14ac:dyDescent="0.2">
      <c r="A24" s="214"/>
      <c r="B24" s="215"/>
      <c r="C24" s="246" t="s">
        <v>627</v>
      </c>
      <c r="D24" s="655" t="s">
        <v>706</v>
      </c>
      <c r="E24" s="655"/>
      <c r="F24" s="655"/>
      <c r="G24" s="655"/>
      <c r="H24" s="655"/>
      <c r="I24" s="655"/>
      <c r="J24" s="374">
        <f>J22</f>
        <v>647.12770656884254</v>
      </c>
      <c r="K24" s="374"/>
      <c r="L24" s="467"/>
      <c r="M24" s="302"/>
      <c r="N24" s="158"/>
      <c r="O24" s="440"/>
      <c r="P24" s="441"/>
      <c r="Q24" s="441"/>
      <c r="T24" s="121"/>
    </row>
    <row r="25" spans="1:20" ht="15" x14ac:dyDescent="0.2">
      <c r="A25" s="214"/>
      <c r="B25" s="337"/>
      <c r="C25" s="275"/>
      <c r="D25" s="275"/>
      <c r="E25" s="275"/>
      <c r="F25" s="275"/>
      <c r="G25" s="275"/>
      <c r="H25" s="275"/>
      <c r="I25" s="340"/>
      <c r="J25" s="275"/>
      <c r="K25" s="275"/>
      <c r="L25" s="510"/>
      <c r="M25" s="341"/>
      <c r="N25" s="204"/>
      <c r="O25" s="440"/>
      <c r="P25" s="441"/>
      <c r="Q25" s="441"/>
      <c r="T25" s="121"/>
    </row>
    <row r="26" spans="1:20" ht="15" x14ac:dyDescent="0.2">
      <c r="A26" s="214"/>
      <c r="B26" s="214"/>
      <c r="C26" s="214"/>
      <c r="D26" s="214"/>
      <c r="E26" s="214"/>
      <c r="F26" s="214"/>
      <c r="G26" s="214"/>
      <c r="H26" s="214"/>
      <c r="I26" s="214"/>
      <c r="J26" s="214"/>
      <c r="K26" s="214"/>
      <c r="L26" s="503"/>
      <c r="M26" s="214"/>
      <c r="N26" s="442"/>
      <c r="O26" s="440"/>
      <c r="P26" s="409"/>
      <c r="Q26" s="441"/>
      <c r="T26" s="121"/>
    </row>
  </sheetData>
  <mergeCells count="25">
    <mergeCell ref="C8:D12"/>
    <mergeCell ref="J8:K8"/>
    <mergeCell ref="F9:I9"/>
    <mergeCell ref="J9:K9"/>
    <mergeCell ref="F10:I10"/>
    <mergeCell ref="J10:K10"/>
    <mergeCell ref="F11:I11"/>
    <mergeCell ref="J11:K11"/>
    <mergeCell ref="C17:C21"/>
    <mergeCell ref="D17:D18"/>
    <mergeCell ref="E17:E18"/>
    <mergeCell ref="F17:F18"/>
    <mergeCell ref="G17:G18"/>
    <mergeCell ref="Q17:Q18"/>
    <mergeCell ref="R17:R18"/>
    <mergeCell ref="H19:I21"/>
    <mergeCell ref="O22:Q22"/>
    <mergeCell ref="D24:I24"/>
    <mergeCell ref="I17:I18"/>
    <mergeCell ref="J17:J18"/>
    <mergeCell ref="L17:L18"/>
    <mergeCell ref="N17:N18"/>
    <mergeCell ref="O17:O18"/>
    <mergeCell ref="P17:P18"/>
    <mergeCell ref="H17:H18"/>
  </mergeCells>
  <conditionalFormatting sqref="J17:J18">
    <cfRule type="expression" dxfId="1" priority="1" stopIfTrue="1">
      <formula>$O17=1</formula>
    </cfRule>
  </conditionalFormatting>
  <conditionalFormatting sqref="K17:K18">
    <cfRule type="expression" dxfId="0" priority="2" stopIfTrue="1">
      <formula>$O17=1</formula>
    </cfRule>
  </conditionalFormatting>
  <dataValidations count="2">
    <dataValidation type="list" allowBlank="1" showInputMessage="1" showErrorMessage="1" sqref="E17:E21" xr:uid="{2238CFBF-FE77-4E61-9F2A-64834DBFE600}">
      <formula1>Y_N</formula1>
    </dataValidation>
    <dataValidation type="list" allowBlank="1" showInputMessage="1" showErrorMessage="1" sqref="K17" xr:uid="{675BB1D7-CC58-460A-BFC5-A279A0375D09}">
      <formula1>Select_Distance</formula1>
    </dataValidation>
  </dataValidations>
  <pageMargins left="0.75" right="0.75" top="1" bottom="1" header="0.5" footer="0.5"/>
  <pageSetup paperSize="8" orientation="landscape" horizontalDpi="300" verticalDpi="300" r:id="rId1"/>
  <headerFooter alignWithMargins="0">
    <oddFooter>&amp;C_x000D_&amp;1#&amp;"Calibri"&amp;12&amp;K000000 OFFICIAL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31B49-C3EE-4184-8BBB-2EB4F72C7EBC}">
  <sheetPr codeName="Sheet06">
    <pageSetUpPr fitToPage="1"/>
  </sheetPr>
  <dimension ref="A1:N60"/>
  <sheetViews>
    <sheetView topLeftCell="A17" workbookViewId="0">
      <selection activeCell="J52" sqref="J52"/>
    </sheetView>
  </sheetViews>
  <sheetFormatPr defaultColWidth="0" defaultRowHeight="12.75" zeroHeight="1" x14ac:dyDescent="0.2"/>
  <cols>
    <col min="1" max="2" width="2.42578125" style="2" customWidth="1"/>
    <col min="3" max="11" width="9.140625" style="2" customWidth="1"/>
    <col min="12" max="12" width="11.28515625" style="2" customWidth="1"/>
    <col min="13" max="13" width="2.42578125" style="2" customWidth="1"/>
    <col min="14" max="14" width="2" style="2" customWidth="1"/>
    <col min="15" max="16384" width="8.85546875" style="2" hidden="1"/>
  </cols>
  <sheetData>
    <row r="1" spans="1:14" x14ac:dyDescent="0.2">
      <c r="A1" s="1"/>
      <c r="B1" s="1"/>
      <c r="C1" s="1"/>
      <c r="D1" s="1"/>
      <c r="E1" s="1"/>
      <c r="F1" s="1"/>
      <c r="G1" s="1"/>
      <c r="H1" s="1"/>
      <c r="I1" s="1"/>
      <c r="J1" s="1"/>
      <c r="K1" s="1"/>
      <c r="L1" s="1"/>
      <c r="M1" s="1"/>
      <c r="N1" s="1"/>
    </row>
    <row r="2" spans="1:14" x14ac:dyDescent="0.2">
      <c r="A2" s="1"/>
      <c r="B2" s="3"/>
      <c r="C2" s="4"/>
      <c r="D2" s="4"/>
      <c r="E2" s="4"/>
      <c r="F2" s="4"/>
      <c r="G2" s="4"/>
      <c r="H2" s="4"/>
      <c r="I2" s="4"/>
      <c r="J2" s="4"/>
      <c r="K2" s="4"/>
      <c r="L2" s="4"/>
      <c r="M2" s="5"/>
      <c r="N2" s="1"/>
    </row>
    <row r="3" spans="1:14" ht="22.5" x14ac:dyDescent="0.45">
      <c r="A3" s="1"/>
      <c r="B3" s="6"/>
      <c r="C3" s="559" t="s">
        <v>707</v>
      </c>
      <c r="D3" s="559"/>
      <c r="E3" s="559"/>
      <c r="F3" s="559"/>
      <c r="G3" s="559"/>
      <c r="H3" s="559"/>
      <c r="I3" s="559"/>
      <c r="J3" s="559"/>
      <c r="K3" s="559"/>
      <c r="L3" s="559"/>
      <c r="M3" s="7"/>
      <c r="N3" s="1"/>
    </row>
    <row r="4" spans="1:14" x14ac:dyDescent="0.2">
      <c r="A4" s="1"/>
      <c r="B4" s="6"/>
      <c r="C4" s="1"/>
      <c r="D4" s="1"/>
      <c r="E4" s="1"/>
      <c r="F4" s="1"/>
      <c r="G4" s="1"/>
      <c r="H4" s="1"/>
      <c r="I4" s="1"/>
      <c r="J4" s="1"/>
      <c r="K4" s="1"/>
      <c r="L4" s="1"/>
      <c r="M4" s="7"/>
      <c r="N4" s="1"/>
    </row>
    <row r="5" spans="1:14" x14ac:dyDescent="0.2">
      <c r="A5" s="1"/>
      <c r="B5" s="6"/>
      <c r="C5" s="1"/>
      <c r="D5" s="1"/>
      <c r="E5" s="1"/>
      <c r="F5" s="1"/>
      <c r="G5" s="1"/>
      <c r="H5" s="1"/>
      <c r="I5" s="1"/>
      <c r="J5" s="1"/>
      <c r="K5" s="1"/>
      <c r="L5" s="1"/>
      <c r="M5" s="7"/>
      <c r="N5" s="1"/>
    </row>
    <row r="6" spans="1:14" x14ac:dyDescent="0.2">
      <c r="A6" s="1"/>
      <c r="B6" s="6"/>
      <c r="C6" s="1"/>
      <c r="D6" s="1"/>
      <c r="E6" s="1"/>
      <c r="F6" s="1"/>
      <c r="G6" s="1"/>
      <c r="H6" s="1"/>
      <c r="I6" s="1"/>
      <c r="J6" s="1"/>
      <c r="K6" s="1"/>
      <c r="L6" s="1"/>
      <c r="M6" s="7"/>
      <c r="N6" s="1"/>
    </row>
    <row r="7" spans="1:14" x14ac:dyDescent="0.2">
      <c r="A7" s="1"/>
      <c r="B7" s="6"/>
      <c r="C7" s="1"/>
      <c r="D7" s="1"/>
      <c r="E7" s="1"/>
      <c r="F7" s="1"/>
      <c r="G7" s="1"/>
      <c r="H7" s="1"/>
      <c r="I7" s="1"/>
      <c r="J7" s="1"/>
      <c r="K7" s="1"/>
      <c r="L7" s="1"/>
      <c r="M7" s="7"/>
      <c r="N7" s="1"/>
    </row>
    <row r="8" spans="1:14" x14ac:dyDescent="0.2">
      <c r="A8" s="1"/>
      <c r="B8" s="6"/>
      <c r="C8" s="9" t="s">
        <v>4</v>
      </c>
      <c r="D8" s="1"/>
      <c r="E8" s="807" t="str">
        <f>IF(Registration!E9="","",Registration!E9)</f>
        <v/>
      </c>
      <c r="F8" s="780"/>
      <c r="G8" s="780"/>
      <c r="H8" s="780"/>
      <c r="I8" s="780"/>
      <c r="J8" s="780"/>
      <c r="K8" s="780"/>
      <c r="L8" s="781"/>
      <c r="M8" s="7"/>
      <c r="N8" s="1"/>
    </row>
    <row r="9" spans="1:14" x14ac:dyDescent="0.2">
      <c r="A9" s="1"/>
      <c r="B9" s="6"/>
      <c r="C9" s="9"/>
      <c r="D9" s="1"/>
      <c r="E9" s="1"/>
      <c r="F9" s="1"/>
      <c r="G9" s="1"/>
      <c r="H9" s="1"/>
      <c r="I9" s="1"/>
      <c r="J9" s="1"/>
      <c r="K9" s="1"/>
      <c r="L9" s="1"/>
      <c r="M9" s="7"/>
      <c r="N9" s="1"/>
    </row>
    <row r="10" spans="1:14" x14ac:dyDescent="0.2">
      <c r="A10" s="1"/>
      <c r="B10" s="6"/>
      <c r="C10" s="9" t="s">
        <v>708</v>
      </c>
      <c r="D10" s="1"/>
      <c r="E10" s="807" t="str">
        <f>IF(Registration!E11="","",Registration!E11)</f>
        <v/>
      </c>
      <c r="F10" s="780"/>
      <c r="G10" s="780"/>
      <c r="H10" s="780"/>
      <c r="I10" s="780"/>
      <c r="J10" s="780"/>
      <c r="K10" s="780"/>
      <c r="L10" s="781"/>
      <c r="M10" s="7"/>
      <c r="N10" s="1"/>
    </row>
    <row r="11" spans="1:14" x14ac:dyDescent="0.2">
      <c r="A11" s="1"/>
      <c r="B11" s="6"/>
      <c r="C11" s="9"/>
      <c r="D11" s="1"/>
      <c r="E11" s="1"/>
      <c r="F11" s="1"/>
      <c r="G11" s="1"/>
      <c r="H11" s="1"/>
      <c r="I11" s="1"/>
      <c r="J11" s="1"/>
      <c r="K11" s="1"/>
      <c r="L11" s="1"/>
      <c r="M11" s="7"/>
      <c r="N11" s="1"/>
    </row>
    <row r="12" spans="1:14" x14ac:dyDescent="0.2">
      <c r="A12" s="1"/>
      <c r="B12" s="6"/>
      <c r="C12" s="9" t="s">
        <v>6</v>
      </c>
      <c r="D12" s="1"/>
      <c r="E12" s="807" t="str">
        <f>IF(Registration!E13="","",Registration!E13)</f>
        <v/>
      </c>
      <c r="F12" s="780"/>
      <c r="G12" s="780"/>
      <c r="H12" s="780"/>
      <c r="I12" s="780"/>
      <c r="J12" s="780"/>
      <c r="K12" s="780"/>
      <c r="L12" s="781"/>
      <c r="M12" s="7"/>
      <c r="N12" s="1"/>
    </row>
    <row r="13" spans="1:14" x14ac:dyDescent="0.2">
      <c r="A13" s="1"/>
      <c r="B13" s="6"/>
      <c r="C13" s="9"/>
      <c r="D13" s="1"/>
      <c r="E13" s="1"/>
      <c r="F13" s="1"/>
      <c r="G13" s="1"/>
      <c r="H13" s="1"/>
      <c r="I13" s="1"/>
      <c r="J13" s="1"/>
      <c r="K13" s="1"/>
      <c r="L13" s="1"/>
      <c r="M13" s="7"/>
      <c r="N13" s="1"/>
    </row>
    <row r="14" spans="1:14" x14ac:dyDescent="0.2">
      <c r="A14" s="1"/>
      <c r="B14" s="6"/>
      <c r="C14" s="9" t="s">
        <v>7</v>
      </c>
      <c r="D14" s="1"/>
      <c r="E14" s="807" t="str">
        <f>IF(Registration!E15="","",Registration!E15)</f>
        <v/>
      </c>
      <c r="F14" s="780"/>
      <c r="G14" s="780"/>
      <c r="H14" s="780"/>
      <c r="I14" s="780"/>
      <c r="J14" s="780"/>
      <c r="K14" s="780"/>
      <c r="L14" s="781"/>
      <c r="M14" s="7"/>
      <c r="N14" s="1"/>
    </row>
    <row r="15" spans="1:14" x14ac:dyDescent="0.2">
      <c r="A15" s="1"/>
      <c r="B15" s="6"/>
      <c r="C15" s="9"/>
      <c r="D15" s="1"/>
      <c r="E15" s="1"/>
      <c r="F15" s="1"/>
      <c r="G15" s="1"/>
      <c r="H15" s="1"/>
      <c r="I15" s="1"/>
      <c r="J15" s="1"/>
      <c r="K15" s="1"/>
      <c r="L15" s="1"/>
      <c r="M15" s="7"/>
      <c r="N15" s="1"/>
    </row>
    <row r="16" spans="1:14" ht="15" x14ac:dyDescent="0.25">
      <c r="A16" s="1"/>
      <c r="B16" s="6"/>
      <c r="C16" s="9" t="s">
        <v>709</v>
      </c>
      <c r="D16" s="1"/>
      <c r="E16" s="808" t="str">
        <f>IF(Registration!E17="","",Registration!E17)</f>
        <v/>
      </c>
      <c r="F16" s="809"/>
      <c r="G16" s="810" t="s">
        <v>710</v>
      </c>
      <c r="H16" s="573"/>
      <c r="I16" s="573"/>
      <c r="J16" s="811"/>
      <c r="K16" s="812" t="str">
        <f>IF(Registration!L17="","",Registration!L17)</f>
        <v/>
      </c>
      <c r="L16" s="813"/>
      <c r="M16" s="7"/>
      <c r="N16" s="1"/>
    </row>
    <row r="17" spans="1:14" x14ac:dyDescent="0.2">
      <c r="A17" s="1"/>
      <c r="B17" s="6"/>
      <c r="C17" s="9"/>
      <c r="D17" s="1"/>
      <c r="E17" s="1"/>
      <c r="F17" s="1"/>
      <c r="G17" s="1"/>
      <c r="H17" s="1"/>
      <c r="I17" s="1"/>
      <c r="J17" s="1"/>
      <c r="K17" s="1"/>
      <c r="L17" s="1"/>
      <c r="M17" s="7"/>
      <c r="N17" s="1"/>
    </row>
    <row r="18" spans="1:14" x14ac:dyDescent="0.2">
      <c r="A18" s="1"/>
      <c r="B18" s="6"/>
      <c r="C18" s="9" t="s">
        <v>10</v>
      </c>
      <c r="D18" s="1"/>
      <c r="E18" s="807" t="str">
        <f>IF(Registration!E19="","",Registration!E19)</f>
        <v/>
      </c>
      <c r="F18" s="780"/>
      <c r="G18" s="780"/>
      <c r="H18" s="780"/>
      <c r="I18" s="780"/>
      <c r="J18" s="780"/>
      <c r="K18" s="780"/>
      <c r="L18" s="781"/>
      <c r="M18" s="7"/>
      <c r="N18" s="1"/>
    </row>
    <row r="19" spans="1:14" x14ac:dyDescent="0.2">
      <c r="A19" s="1"/>
      <c r="B19" s="6"/>
      <c r="C19" s="9"/>
      <c r="D19" s="1"/>
      <c r="E19" s="1"/>
      <c r="F19" s="1"/>
      <c r="G19" s="1"/>
      <c r="H19" s="1"/>
      <c r="I19" s="1"/>
      <c r="J19" s="1"/>
      <c r="K19" s="1"/>
      <c r="L19" s="1"/>
      <c r="M19" s="7"/>
      <c r="N19" s="1"/>
    </row>
    <row r="20" spans="1:14" x14ac:dyDescent="0.2">
      <c r="A20" s="1"/>
      <c r="B20" s="6"/>
      <c r="C20" s="9" t="s">
        <v>11</v>
      </c>
      <c r="D20" s="1"/>
      <c r="E20" s="807" t="str">
        <f>IF(Registration!E21="","",Registration!E21)</f>
        <v/>
      </c>
      <c r="F20" s="780"/>
      <c r="G20" s="780"/>
      <c r="H20" s="780"/>
      <c r="I20" s="780"/>
      <c r="J20" s="780"/>
      <c r="K20" s="780"/>
      <c r="L20" s="781"/>
      <c r="M20" s="7"/>
      <c r="N20" s="1"/>
    </row>
    <row r="21" spans="1:14" x14ac:dyDescent="0.2">
      <c r="A21" s="1"/>
      <c r="B21" s="6"/>
      <c r="C21" s="9"/>
      <c r="D21" s="1"/>
      <c r="E21" s="1"/>
      <c r="F21" s="1"/>
      <c r="G21" s="1"/>
      <c r="H21" s="1"/>
      <c r="I21" s="1"/>
      <c r="J21" s="1"/>
      <c r="K21" s="1"/>
      <c r="L21" s="1"/>
      <c r="M21" s="7"/>
      <c r="N21" s="1"/>
    </row>
    <row r="22" spans="1:14" x14ac:dyDescent="0.2">
      <c r="A22" s="1"/>
      <c r="B22" s="6"/>
      <c r="C22" s="9" t="s">
        <v>12</v>
      </c>
      <c r="D22" s="1"/>
      <c r="E22" s="814" t="str">
        <f>IF(Registration!E23="","",Registration!E23)</f>
        <v/>
      </c>
      <c r="F22" s="815"/>
      <c r="G22" s="815"/>
      <c r="H22" s="815"/>
      <c r="I22" s="815"/>
      <c r="J22" s="815"/>
      <c r="K22" s="815"/>
      <c r="L22" s="816"/>
      <c r="M22" s="7"/>
      <c r="N22" s="1"/>
    </row>
    <row r="23" spans="1:14" x14ac:dyDescent="0.2">
      <c r="A23" s="1"/>
      <c r="B23" s="6"/>
      <c r="C23" s="9"/>
      <c r="D23" s="1"/>
      <c r="E23" s="817" t="str">
        <f>IF(Registration!E24="","",Registration!E24)</f>
        <v/>
      </c>
      <c r="F23" s="818"/>
      <c r="G23" s="818"/>
      <c r="H23" s="818"/>
      <c r="I23" s="818"/>
      <c r="J23" s="818"/>
      <c r="K23" s="818"/>
      <c r="L23" s="819"/>
      <c r="M23" s="7"/>
      <c r="N23" s="1"/>
    </row>
    <row r="24" spans="1:14" x14ac:dyDescent="0.2">
      <c r="A24" s="1"/>
      <c r="B24" s="6"/>
      <c r="C24" s="9"/>
      <c r="D24" s="1"/>
      <c r="E24" s="820" t="str">
        <f>IF(Registration!E25="","",Registration!E25)</f>
        <v/>
      </c>
      <c r="F24" s="821"/>
      <c r="G24" s="821"/>
      <c r="H24" s="821"/>
      <c r="I24" s="821"/>
      <c r="J24" s="821"/>
      <c r="K24" s="821"/>
      <c r="L24" s="822"/>
      <c r="M24" s="7"/>
      <c r="N24" s="1"/>
    </row>
    <row r="25" spans="1:14" x14ac:dyDescent="0.2">
      <c r="A25" s="1"/>
      <c r="B25" s="6"/>
      <c r="C25" s="9"/>
      <c r="D25" s="1"/>
      <c r="E25" s="1"/>
      <c r="F25" s="1"/>
      <c r="G25" s="1"/>
      <c r="H25" s="1"/>
      <c r="I25" s="1"/>
      <c r="J25" s="1"/>
      <c r="K25" s="1"/>
      <c r="L25" s="1"/>
      <c r="M25" s="7"/>
      <c r="N25" s="1"/>
    </row>
    <row r="26" spans="1:14" x14ac:dyDescent="0.2">
      <c r="A26" s="1"/>
      <c r="B26" s="6"/>
      <c r="C26" s="9" t="s">
        <v>13</v>
      </c>
      <c r="D26" s="1"/>
      <c r="E26" s="802" t="str">
        <f>IF(Registration!E27="","",Registration!E27)</f>
        <v/>
      </c>
      <c r="F26" s="803"/>
      <c r="G26" s="14" t="s">
        <v>14</v>
      </c>
      <c r="H26" s="804" t="str">
        <f>IF(Registration!J27="","",Registration!J27)</f>
        <v/>
      </c>
      <c r="I26" s="780"/>
      <c r="J26" s="780"/>
      <c r="K26" s="805"/>
      <c r="L26" s="806"/>
      <c r="M26" s="7"/>
      <c r="N26" s="1"/>
    </row>
    <row r="27" spans="1:14" x14ac:dyDescent="0.2">
      <c r="A27" s="1"/>
      <c r="B27" s="6"/>
      <c r="C27" s="1"/>
      <c r="D27" s="1"/>
      <c r="E27" s="1"/>
      <c r="F27" s="1"/>
      <c r="G27" s="1"/>
      <c r="H27" s="1"/>
      <c r="I27" s="1"/>
      <c r="J27" s="1"/>
      <c r="K27" s="1"/>
      <c r="L27" s="1"/>
      <c r="M27" s="7"/>
      <c r="N27" s="1"/>
    </row>
    <row r="28" spans="1:14" ht="13.5" thickBot="1" x14ac:dyDescent="0.25">
      <c r="A28" s="1"/>
      <c r="B28" s="6"/>
      <c r="C28" s="17"/>
      <c r="D28" s="1"/>
      <c r="E28" s="1"/>
      <c r="F28" s="1"/>
      <c r="G28" s="1"/>
      <c r="H28" s="1"/>
      <c r="I28" s="1"/>
      <c r="J28" s="1"/>
      <c r="K28" s="1"/>
      <c r="L28" s="1"/>
      <c r="M28" s="7"/>
      <c r="N28" s="1"/>
    </row>
    <row r="29" spans="1:14" ht="15" x14ac:dyDescent="0.2">
      <c r="A29" s="1"/>
      <c r="B29" s="6"/>
      <c r="C29" s="797" t="s">
        <v>711</v>
      </c>
      <c r="D29" s="798"/>
      <c r="E29" s="798"/>
      <c r="F29" s="798"/>
      <c r="G29" s="798"/>
      <c r="H29" s="798"/>
      <c r="I29" s="798"/>
      <c r="J29" s="799" t="s">
        <v>712</v>
      </c>
      <c r="K29" s="800"/>
      <c r="L29" s="801"/>
      <c r="M29" s="7"/>
      <c r="N29" s="1"/>
    </row>
    <row r="30" spans="1:14" x14ac:dyDescent="0.2">
      <c r="A30" s="1"/>
      <c r="B30" s="6"/>
      <c r="C30" s="775" t="str">
        <f>Infrastructure!C4</f>
        <v xml:space="preserve">Domain 1: Infrastructure Areas </v>
      </c>
      <c r="D30" s="780"/>
      <c r="E30" s="780"/>
      <c r="F30" s="780"/>
      <c r="G30" s="780"/>
      <c r="H30" s="780"/>
      <c r="I30" s="781"/>
      <c r="J30" s="771">
        <f>VLOOKUP("TXRESULT",Infrastructure!$C$14:$L$65536,8,FALSE)</f>
        <v>2588.5108262753702</v>
      </c>
      <c r="K30" s="772"/>
      <c r="L30" s="773"/>
      <c r="M30" s="7"/>
      <c r="N30" s="1"/>
    </row>
    <row r="31" spans="1:14" x14ac:dyDescent="0.2">
      <c r="A31" s="1"/>
      <c r="B31" s="6"/>
      <c r="C31" s="775" t="str">
        <f>'Tailings Storage (1)'!C4</f>
        <v>Domain 2: Tailings Storage Facility/Slimes Storage (1)</v>
      </c>
      <c r="D31" s="780"/>
      <c r="E31" s="780"/>
      <c r="F31" s="780"/>
      <c r="G31" s="780"/>
      <c r="H31" s="780"/>
      <c r="I31" s="781"/>
      <c r="J31" s="771">
        <f>VLOOKUP("TXRESULT",'Tailings Storage (1)'!$C$14:$L$65536,8,FALSE)</f>
        <v>0</v>
      </c>
      <c r="K31" s="772"/>
      <c r="L31" s="773"/>
      <c r="M31" s="7"/>
      <c r="N31" s="1"/>
    </row>
    <row r="32" spans="1:14" x14ac:dyDescent="0.2">
      <c r="A32" s="1"/>
      <c r="B32" s="6"/>
      <c r="C32" s="790" t="str">
        <f>'Tailings Storage (2)'!C4</f>
        <v>Domain 2: Tailings Storage Facility/Slimes Storage (2)</v>
      </c>
      <c r="D32" s="791"/>
      <c r="E32" s="791"/>
      <c r="F32" s="791"/>
      <c r="G32" s="791"/>
      <c r="H32" s="791"/>
      <c r="I32" s="791"/>
      <c r="J32" s="771">
        <f>VLOOKUP("TXRESULT",'Tailings Storage (2)'!$C$14:$L$65536,8,FALSE)</f>
        <v>0</v>
      </c>
      <c r="K32" s="772"/>
      <c r="L32" s="773"/>
      <c r="M32" s="7"/>
      <c r="N32" s="1"/>
    </row>
    <row r="33" spans="1:14" x14ac:dyDescent="0.2">
      <c r="A33" s="1"/>
      <c r="B33" s="6"/>
      <c r="C33" s="790" t="str">
        <f>'Tailings Storage (3)'!C4</f>
        <v>Domain 2: Tailings Storage Facility/Slimes Storage (3)</v>
      </c>
      <c r="D33" s="791"/>
      <c r="E33" s="791"/>
      <c r="F33" s="791"/>
      <c r="G33" s="791"/>
      <c r="H33" s="791"/>
      <c r="I33" s="791"/>
      <c r="J33" s="771">
        <f>VLOOKUP("TXRESULT",'Tailings Storage (3)'!$C$14:$L$65536,8,FALSE)</f>
        <v>0</v>
      </c>
      <c r="K33" s="772"/>
      <c r="L33" s="773"/>
      <c r="M33" s="7"/>
      <c r="N33" s="1"/>
    </row>
    <row r="34" spans="1:14" x14ac:dyDescent="0.2">
      <c r="A34" s="1"/>
      <c r="B34" s="6"/>
      <c r="C34" s="790" t="str">
        <f>'Overburden &amp; Waste'!C4</f>
        <v>Domain 3: Overburden &amp; Waste Dumps</v>
      </c>
      <c r="D34" s="791"/>
      <c r="E34" s="791"/>
      <c r="F34" s="791"/>
      <c r="G34" s="791"/>
      <c r="H34" s="791"/>
      <c r="I34" s="791"/>
      <c r="J34" s="771">
        <f>VLOOKUP("TXRESULT",'Overburden &amp; Waste'!$C$14:$L$65536,8,FALSE)</f>
        <v>0</v>
      </c>
      <c r="K34" s="772"/>
      <c r="L34" s="773"/>
      <c r="M34" s="7"/>
      <c r="N34" s="1"/>
    </row>
    <row r="35" spans="1:14" x14ac:dyDescent="0.2">
      <c r="A35" s="1"/>
      <c r="B35" s="6"/>
      <c r="C35" s="790" t="str">
        <f>'Pits(1)'!C4</f>
        <v>Domain 4: Pits (1)</v>
      </c>
      <c r="D35" s="791"/>
      <c r="E35" s="791"/>
      <c r="F35" s="791"/>
      <c r="G35" s="791"/>
      <c r="H35" s="791"/>
      <c r="I35" s="791"/>
      <c r="J35" s="771">
        <f>VLOOKUP("TXRESULT",'Pits(1)'!$C$14:$L$65536,8,FALSE)</f>
        <v>0</v>
      </c>
      <c r="K35" s="772"/>
      <c r="L35" s="773"/>
      <c r="M35" s="7"/>
      <c r="N35" s="1"/>
    </row>
    <row r="36" spans="1:14" x14ac:dyDescent="0.2">
      <c r="A36" s="1"/>
      <c r="B36" s="6"/>
      <c r="C36" s="792" t="str">
        <f>'Pits(2)'!C4</f>
        <v>Domain 4: Pits (2)</v>
      </c>
      <c r="D36" s="793"/>
      <c r="E36" s="793"/>
      <c r="F36" s="793"/>
      <c r="G36" s="793"/>
      <c r="H36" s="793"/>
      <c r="I36" s="793"/>
      <c r="J36" s="794">
        <f>VLOOKUP("TXRESULT",'Pits(2)'!$C$14:$L$65536,8,FALSE)</f>
        <v>0</v>
      </c>
      <c r="K36" s="795"/>
      <c r="L36" s="796"/>
      <c r="M36" s="7"/>
      <c r="N36" s="1"/>
    </row>
    <row r="37" spans="1:14" x14ac:dyDescent="0.2">
      <c r="A37" s="1"/>
      <c r="B37" s="6"/>
      <c r="C37" s="775" t="str">
        <f>'Pits(3)'!C4</f>
        <v>Domain 4: Pits (3)</v>
      </c>
      <c r="D37" s="776"/>
      <c r="E37" s="776"/>
      <c r="F37" s="776"/>
      <c r="G37" s="776"/>
      <c r="H37" s="776"/>
      <c r="I37" s="777"/>
      <c r="J37" s="771">
        <f>VLOOKUP("TXRESULT",'Pits(3)'!$C$14:$L$65536,8,FALSE)</f>
        <v>0</v>
      </c>
      <c r="K37" s="778"/>
      <c r="L37" s="779"/>
      <c r="M37" s="7"/>
      <c r="N37" s="1"/>
    </row>
    <row r="38" spans="1:14" x14ac:dyDescent="0.2">
      <c r="A38" s="1"/>
      <c r="B38" s="6"/>
      <c r="C38" s="775" t="str">
        <f>Other!C4</f>
        <v>Domain 5: Other</v>
      </c>
      <c r="D38" s="776"/>
      <c r="E38" s="776"/>
      <c r="F38" s="776"/>
      <c r="G38" s="776"/>
      <c r="H38" s="776"/>
      <c r="I38" s="777"/>
      <c r="J38" s="771">
        <f>VLOOKUP("TXRESULT",Other!$C$14:$L$65536,8,FALSE)</f>
        <v>0</v>
      </c>
      <c r="K38" s="778"/>
      <c r="L38" s="779"/>
      <c r="M38" s="7"/>
      <c r="N38" s="1"/>
    </row>
    <row r="39" spans="1:14" x14ac:dyDescent="0.2">
      <c r="A39" s="1"/>
      <c r="B39" s="6"/>
      <c r="C39" s="775"/>
      <c r="D39" s="780"/>
      <c r="E39" s="780"/>
      <c r="F39" s="780"/>
      <c r="G39" s="780"/>
      <c r="H39" s="780"/>
      <c r="I39" s="781"/>
      <c r="J39" s="771"/>
      <c r="K39" s="782"/>
      <c r="L39" s="783"/>
      <c r="M39" s="7"/>
      <c r="N39" s="1"/>
    </row>
    <row r="40" spans="1:14" ht="13.5" thickBot="1" x14ac:dyDescent="0.25">
      <c r="A40" s="1"/>
      <c r="B40" s="6"/>
      <c r="C40" s="784"/>
      <c r="D40" s="785"/>
      <c r="E40" s="785"/>
      <c r="F40" s="785"/>
      <c r="G40" s="785"/>
      <c r="H40" s="785"/>
      <c r="I40" s="786"/>
      <c r="J40" s="787"/>
      <c r="K40" s="788"/>
      <c r="L40" s="789"/>
      <c r="M40" s="7"/>
      <c r="N40" s="1"/>
    </row>
    <row r="41" spans="1:14" ht="13.5" thickBot="1" x14ac:dyDescent="0.25">
      <c r="A41" s="1"/>
      <c r="B41" s="6"/>
      <c r="C41" s="762" t="s">
        <v>713</v>
      </c>
      <c r="D41" s="763"/>
      <c r="E41" s="763"/>
      <c r="F41" s="763"/>
      <c r="G41" s="763"/>
      <c r="H41" s="763"/>
      <c r="I41" s="764"/>
      <c r="J41" s="765">
        <f>SUM(J30:L40)</f>
        <v>2588.5108262753702</v>
      </c>
      <c r="K41" s="766"/>
      <c r="L41" s="767"/>
      <c r="M41" s="7"/>
      <c r="N41" s="1"/>
    </row>
    <row r="42" spans="1:14" ht="13.5" thickBot="1" x14ac:dyDescent="0.25">
      <c r="A42" s="1"/>
      <c r="B42" s="6"/>
      <c r="C42" s="768" t="str">
        <f>'Management &amp; Contingencies'!C4</f>
        <v>Third Party Project Management &amp; Contingencies</v>
      </c>
      <c r="D42" s="769"/>
      <c r="E42" s="769"/>
      <c r="F42" s="769"/>
      <c r="G42" s="769"/>
      <c r="H42" s="769"/>
      <c r="I42" s="770"/>
      <c r="J42" s="771">
        <f>VLOOKUP("TXRESULT",'Management &amp; Contingencies'!$C$14:$L$65536,8,FALSE)</f>
        <v>647.12770656884254</v>
      </c>
      <c r="K42" s="772"/>
      <c r="L42" s="773"/>
      <c r="M42" s="7"/>
      <c r="N42" s="1"/>
    </row>
    <row r="43" spans="1:14" ht="13.5" thickBot="1" x14ac:dyDescent="0.25">
      <c r="A43" s="1"/>
      <c r="B43" s="6"/>
      <c r="C43" s="774" t="s">
        <v>714</v>
      </c>
      <c r="D43" s="763"/>
      <c r="E43" s="763"/>
      <c r="F43" s="763"/>
      <c r="G43" s="763"/>
      <c r="H43" s="763"/>
      <c r="I43" s="764"/>
      <c r="J43" s="758">
        <f>SUM(J41:L42)</f>
        <v>3235.6385328442129</v>
      </c>
      <c r="K43" s="759"/>
      <c r="L43" s="760"/>
      <c r="M43" s="7"/>
      <c r="N43" s="1"/>
    </row>
    <row r="44" spans="1:14" ht="13.5" thickBot="1" x14ac:dyDescent="0.25">
      <c r="A44" s="1"/>
      <c r="B44" s="6"/>
      <c r="C44" s="447" t="s">
        <v>715</v>
      </c>
      <c r="D44" s="444"/>
      <c r="E44" s="443"/>
      <c r="F44" s="443"/>
      <c r="G44" s="443"/>
      <c r="H44" s="443"/>
      <c r="I44" s="443"/>
      <c r="J44" s="445"/>
      <c r="K44" s="446"/>
      <c r="L44" s="448">
        <v>0</v>
      </c>
      <c r="M44" s="7"/>
      <c r="N44" s="1"/>
    </row>
    <row r="45" spans="1:14" ht="13.5" thickBot="1" x14ac:dyDescent="0.25">
      <c r="A45" s="1"/>
      <c r="B45" s="6"/>
      <c r="C45" s="449" t="s">
        <v>716</v>
      </c>
      <c r="D45" s="450"/>
      <c r="E45" s="450"/>
      <c r="F45" s="450"/>
      <c r="G45" s="450"/>
      <c r="H45" s="450"/>
      <c r="I45" s="450"/>
      <c r="J45" s="451"/>
      <c r="K45" s="452"/>
      <c r="L45" s="453">
        <f>Total_Liability*(1-L44)</f>
        <v>3235.6385328442129</v>
      </c>
      <c r="M45" s="7"/>
      <c r="N45" s="1"/>
    </row>
    <row r="46" spans="1:14" ht="13.5" thickBot="1" x14ac:dyDescent="0.25">
      <c r="A46" s="1"/>
      <c r="B46" s="6"/>
      <c r="C46" s="1"/>
      <c r="D46" s="1"/>
      <c r="E46" s="1"/>
      <c r="F46" s="1"/>
      <c r="G46" s="1"/>
      <c r="H46" s="1"/>
      <c r="I46" s="1"/>
      <c r="J46" s="1"/>
      <c r="K46" s="1"/>
      <c r="L46" s="1"/>
      <c r="M46" s="7"/>
      <c r="N46" s="1"/>
    </row>
    <row r="47" spans="1:14" ht="13.5" thickBot="1" x14ac:dyDescent="0.25">
      <c r="A47" s="1"/>
      <c r="B47" s="6"/>
      <c r="C47" s="755" t="s">
        <v>717</v>
      </c>
      <c r="D47" s="756"/>
      <c r="E47" s="756"/>
      <c r="F47" s="756"/>
      <c r="G47" s="756"/>
      <c r="H47" s="756"/>
      <c r="I47" s="757"/>
      <c r="J47" s="758">
        <f>IF(L45&lt;100000,FLOOR(L45,500),FLOOR(L45,1000))</f>
        <v>3000</v>
      </c>
      <c r="K47" s="759"/>
      <c r="L47" s="760"/>
      <c r="M47" s="7"/>
      <c r="N47" s="1"/>
    </row>
    <row r="48" spans="1:14" x14ac:dyDescent="0.2">
      <c r="A48" s="1"/>
      <c r="B48" s="6"/>
      <c r="C48" s="102" t="s">
        <v>718</v>
      </c>
      <c r="D48" s="16"/>
      <c r="E48" s="16"/>
      <c r="F48" s="16"/>
      <c r="G48" s="16"/>
      <c r="H48" s="16"/>
      <c r="I48" s="16"/>
      <c r="J48" s="16"/>
      <c r="K48" s="16"/>
      <c r="L48" s="16"/>
      <c r="M48" s="7"/>
      <c r="N48" s="1"/>
    </row>
    <row r="49" spans="1:14" x14ac:dyDescent="0.2">
      <c r="A49" s="1"/>
      <c r="B49" s="6"/>
      <c r="C49" s="102"/>
      <c r="D49" s="16"/>
      <c r="E49" s="16"/>
      <c r="F49" s="16"/>
      <c r="G49" s="16"/>
      <c r="H49" s="16"/>
      <c r="I49" s="16"/>
      <c r="J49" s="16"/>
      <c r="K49" s="16"/>
      <c r="L49" s="16"/>
      <c r="M49" s="7"/>
      <c r="N49" s="1"/>
    </row>
    <row r="50" spans="1:14" x14ac:dyDescent="0.2">
      <c r="A50" s="1"/>
      <c r="B50" s="6"/>
      <c r="C50" s="102"/>
      <c r="D50" s="16"/>
      <c r="E50" s="16"/>
      <c r="F50" s="16"/>
      <c r="G50" s="16"/>
      <c r="H50" s="16"/>
      <c r="I50" s="16"/>
      <c r="J50" s="16"/>
      <c r="K50" s="16"/>
      <c r="L50" s="16"/>
      <c r="M50" s="7"/>
      <c r="N50" s="1"/>
    </row>
    <row r="51" spans="1:14" x14ac:dyDescent="0.2">
      <c r="A51" s="1"/>
      <c r="B51" s="6"/>
      <c r="C51" s="16"/>
      <c r="D51" s="16"/>
      <c r="E51" s="16"/>
      <c r="F51" s="16"/>
      <c r="G51" s="16"/>
      <c r="H51" s="16"/>
      <c r="I51" s="16"/>
      <c r="J51" s="16"/>
      <c r="K51" s="16"/>
      <c r="L51" s="16"/>
      <c r="M51" s="7"/>
      <c r="N51" s="1"/>
    </row>
    <row r="52" spans="1:14" x14ac:dyDescent="0.2">
      <c r="A52" s="1"/>
      <c r="B52" s="6"/>
      <c r="C52" s="16"/>
      <c r="D52" s="16"/>
      <c r="E52" s="16"/>
      <c r="F52" s="16"/>
      <c r="G52" s="16"/>
      <c r="H52" s="16"/>
      <c r="I52" s="16"/>
      <c r="J52" s="16"/>
      <c r="K52" s="16"/>
      <c r="L52" s="16"/>
      <c r="M52" s="7"/>
      <c r="N52" s="1"/>
    </row>
    <row r="53" spans="1:14" x14ac:dyDescent="0.2">
      <c r="A53" s="1"/>
      <c r="B53" s="6"/>
      <c r="C53" s="761"/>
      <c r="D53" s="761"/>
      <c r="E53" s="761"/>
      <c r="F53" s="761"/>
      <c r="G53" s="761"/>
      <c r="H53" s="761"/>
      <c r="I53" s="761"/>
      <c r="J53" s="16"/>
      <c r="K53" s="454"/>
      <c r="L53" s="454"/>
      <c r="M53" s="7"/>
      <c r="N53" s="1"/>
    </row>
    <row r="54" spans="1:14" x14ac:dyDescent="0.2">
      <c r="A54" s="1"/>
      <c r="B54" s="6"/>
      <c r="C54" s="455" t="s">
        <v>719</v>
      </c>
      <c r="D54" s="16"/>
      <c r="E54" s="16"/>
      <c r="F54" s="16"/>
      <c r="G54" s="16"/>
      <c r="H54" s="16"/>
      <c r="I54" s="456" t="s">
        <v>720</v>
      </c>
      <c r="J54" s="16"/>
      <c r="K54" s="455" t="s">
        <v>721</v>
      </c>
      <c r="L54" s="16"/>
      <c r="M54" s="7"/>
      <c r="N54" s="1"/>
    </row>
    <row r="55" spans="1:14" x14ac:dyDescent="0.2">
      <c r="A55" s="1"/>
      <c r="B55" s="6"/>
      <c r="C55" s="455"/>
      <c r="D55" s="16"/>
      <c r="E55" s="16"/>
      <c r="F55" s="16"/>
      <c r="G55" s="16"/>
      <c r="H55" s="16"/>
      <c r="I55" s="16"/>
      <c r="J55" s="16"/>
      <c r="K55" s="455"/>
      <c r="L55" s="16"/>
      <c r="M55" s="7"/>
      <c r="N55" s="1"/>
    </row>
    <row r="56" spans="1:14" x14ac:dyDescent="0.2">
      <c r="A56" s="1"/>
      <c r="B56" s="6"/>
      <c r="C56" s="16"/>
      <c r="D56" s="16"/>
      <c r="E56" s="16"/>
      <c r="F56" s="16"/>
      <c r="G56" s="16"/>
      <c r="H56" s="16"/>
      <c r="I56" s="16"/>
      <c r="J56" s="16"/>
      <c r="K56" s="16"/>
      <c r="L56" s="16"/>
      <c r="M56" s="7"/>
      <c r="N56" s="1"/>
    </row>
    <row r="57" spans="1:14" x14ac:dyDescent="0.2">
      <c r="A57" s="1"/>
      <c r="B57" s="6"/>
      <c r="C57" s="761"/>
      <c r="D57" s="761"/>
      <c r="E57" s="761"/>
      <c r="F57" s="761"/>
      <c r="G57" s="761"/>
      <c r="H57" s="761"/>
      <c r="I57" s="761"/>
      <c r="J57" s="16"/>
      <c r="K57" s="454"/>
      <c r="L57" s="454"/>
      <c r="M57" s="7"/>
      <c r="N57" s="1"/>
    </row>
    <row r="58" spans="1:14" x14ac:dyDescent="0.2">
      <c r="A58" s="1"/>
      <c r="B58" s="6"/>
      <c r="C58" s="455" t="s">
        <v>722</v>
      </c>
      <c r="D58" s="16"/>
      <c r="E58" s="16"/>
      <c r="F58" s="16"/>
      <c r="G58" s="16"/>
      <c r="H58" s="16"/>
      <c r="I58" s="456" t="s">
        <v>720</v>
      </c>
      <c r="J58" s="16"/>
      <c r="K58" s="455" t="s">
        <v>721</v>
      </c>
      <c r="L58" s="16"/>
      <c r="M58" s="7"/>
      <c r="N58" s="1"/>
    </row>
    <row r="59" spans="1:14" x14ac:dyDescent="0.2">
      <c r="A59" s="1"/>
      <c r="B59" s="50"/>
      <c r="C59" s="32"/>
      <c r="D59" s="32"/>
      <c r="E59" s="32"/>
      <c r="F59" s="32"/>
      <c r="G59" s="32"/>
      <c r="H59" s="32"/>
      <c r="I59" s="32"/>
      <c r="J59" s="32"/>
      <c r="K59" s="32"/>
      <c r="L59" s="32"/>
      <c r="M59" s="33"/>
      <c r="N59" s="1"/>
    </row>
    <row r="60" spans="1:14" x14ac:dyDescent="0.2">
      <c r="A60" s="1"/>
      <c r="B60" s="1"/>
      <c r="C60" s="1"/>
      <c r="D60" s="1"/>
      <c r="E60" s="1"/>
      <c r="F60" s="1"/>
      <c r="G60" s="1"/>
      <c r="H60" s="1"/>
      <c r="I60" s="1"/>
      <c r="J60" s="1"/>
      <c r="K60" s="1"/>
      <c r="L60" s="1"/>
      <c r="M60" s="1"/>
      <c r="N60" s="1"/>
    </row>
  </sheetData>
  <mergeCells count="49">
    <mergeCell ref="E26:F26"/>
    <mergeCell ref="H26:L26"/>
    <mergeCell ref="C3:L3"/>
    <mergeCell ref="E8:L8"/>
    <mergeCell ref="E10:L10"/>
    <mergeCell ref="E12:L12"/>
    <mergeCell ref="E14:L14"/>
    <mergeCell ref="E16:F16"/>
    <mergeCell ref="G16:J16"/>
    <mergeCell ref="K16:L16"/>
    <mergeCell ref="E18:L18"/>
    <mergeCell ref="E20:L20"/>
    <mergeCell ref="E22:L22"/>
    <mergeCell ref="E23:L23"/>
    <mergeCell ref="E24:L24"/>
    <mergeCell ref="C29:I29"/>
    <mergeCell ref="J29:L29"/>
    <mergeCell ref="C30:I30"/>
    <mergeCell ref="J30:L30"/>
    <mergeCell ref="C31:I31"/>
    <mergeCell ref="J31:L31"/>
    <mergeCell ref="C32:I32"/>
    <mergeCell ref="J32:L32"/>
    <mergeCell ref="C33:I33"/>
    <mergeCell ref="J33:L33"/>
    <mergeCell ref="C34:I34"/>
    <mergeCell ref="J34:L34"/>
    <mergeCell ref="C35:I35"/>
    <mergeCell ref="J35:L35"/>
    <mergeCell ref="C36:I36"/>
    <mergeCell ref="J36:L36"/>
    <mergeCell ref="C37:I37"/>
    <mergeCell ref="J37:L37"/>
    <mergeCell ref="C38:I38"/>
    <mergeCell ref="J38:L38"/>
    <mergeCell ref="C39:I39"/>
    <mergeCell ref="J39:L39"/>
    <mergeCell ref="C40:I40"/>
    <mergeCell ref="J40:L40"/>
    <mergeCell ref="C47:I47"/>
    <mergeCell ref="J47:L47"/>
    <mergeCell ref="C53:I53"/>
    <mergeCell ref="C57:I57"/>
    <mergeCell ref="C41:I41"/>
    <mergeCell ref="J41:L41"/>
    <mergeCell ref="C42:I42"/>
    <mergeCell ref="J42:L42"/>
    <mergeCell ref="C43:I43"/>
    <mergeCell ref="J43:L43"/>
  </mergeCells>
  <pageMargins left="0.75" right="0.75" top="1" bottom="1" header="0.5" footer="0.5"/>
  <pageSetup paperSize="9" scale="96" orientation="portrait" horizontalDpi="300" verticalDpi="300" r:id="rId1"/>
  <headerFooter alignWithMargins="0">
    <oddFooter>&amp;C_x000D_&amp;1#&amp;"Calibri"&amp;12&amp;K000000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639B-F816-4C9C-9AC6-59114B076B8A}">
  <sheetPr codeName="Sheet04">
    <pageSetUpPr fitToPage="1"/>
  </sheetPr>
  <dimension ref="A1:O59"/>
  <sheetViews>
    <sheetView workbookViewId="0">
      <selection activeCell="E9" sqref="E9:M9"/>
    </sheetView>
  </sheetViews>
  <sheetFormatPr defaultColWidth="0" defaultRowHeight="12.75" zeroHeight="1" x14ac:dyDescent="0.2"/>
  <cols>
    <col min="1" max="2" width="2.42578125" style="2" customWidth="1"/>
    <col min="3" max="4" width="9.140625" style="2" customWidth="1"/>
    <col min="5" max="5" width="16.28515625" style="2" customWidth="1"/>
    <col min="6" max="7" width="9.140625" style="2" customWidth="1"/>
    <col min="8" max="8" width="4.42578125" style="2" customWidth="1"/>
    <col min="9" max="12" width="9.140625" style="2" customWidth="1"/>
    <col min="13" max="13" width="11.28515625" style="2" customWidth="1"/>
    <col min="14" max="15" width="2.42578125" style="2" customWidth="1"/>
    <col min="16" max="16384" width="8.85546875" style="2" hidden="1"/>
  </cols>
  <sheetData>
    <row r="1" spans="1:15" x14ac:dyDescent="0.2">
      <c r="A1" s="1"/>
      <c r="B1" s="1"/>
      <c r="C1" s="1"/>
      <c r="D1" s="1"/>
      <c r="E1" s="1"/>
      <c r="F1" s="1"/>
      <c r="G1" s="1"/>
      <c r="H1" s="1"/>
      <c r="I1" s="1"/>
      <c r="J1" s="1"/>
      <c r="K1" s="1"/>
      <c r="L1" s="1"/>
      <c r="M1" s="1"/>
      <c r="N1" s="1"/>
      <c r="O1" s="1"/>
    </row>
    <row r="2" spans="1:15" x14ac:dyDescent="0.2">
      <c r="A2" s="1"/>
      <c r="B2" s="3"/>
      <c r="C2" s="4"/>
      <c r="D2" s="4"/>
      <c r="E2" s="4"/>
      <c r="F2" s="4"/>
      <c r="G2" s="4"/>
      <c r="H2" s="4"/>
      <c r="I2" s="4"/>
      <c r="J2" s="4"/>
      <c r="K2" s="4"/>
      <c r="L2" s="4"/>
      <c r="M2" s="4"/>
      <c r="N2" s="5"/>
      <c r="O2" s="1"/>
    </row>
    <row r="3" spans="1:15" x14ac:dyDescent="0.2">
      <c r="A3" s="1"/>
      <c r="B3" s="6"/>
      <c r="C3" s="35" t="s">
        <v>1</v>
      </c>
      <c r="D3" s="1"/>
      <c r="E3" s="1"/>
      <c r="F3" s="1"/>
      <c r="G3" s="1"/>
      <c r="H3" s="1"/>
      <c r="I3" s="1"/>
      <c r="J3" s="1"/>
      <c r="K3" s="1"/>
      <c r="L3" s="1"/>
      <c r="M3" s="1"/>
      <c r="N3" s="7"/>
      <c r="O3" s="1"/>
    </row>
    <row r="4" spans="1:15" x14ac:dyDescent="0.2">
      <c r="A4" s="1"/>
      <c r="B4" s="6"/>
      <c r="C4" s="1"/>
      <c r="D4" s="1"/>
      <c r="E4" s="1"/>
      <c r="F4" s="1"/>
      <c r="G4" s="1"/>
      <c r="H4" s="1"/>
      <c r="I4" s="1"/>
      <c r="J4" s="1"/>
      <c r="K4" s="1"/>
      <c r="L4" s="1"/>
      <c r="M4" s="1"/>
      <c r="N4" s="7"/>
      <c r="O4" s="1"/>
    </row>
    <row r="5" spans="1:15" ht="15.75" x14ac:dyDescent="0.25">
      <c r="A5" s="1"/>
      <c r="B5" s="6"/>
      <c r="C5" s="539" t="s">
        <v>2</v>
      </c>
      <c r="D5" s="539"/>
      <c r="E5" s="539"/>
      <c r="F5" s="539"/>
      <c r="G5" s="539"/>
      <c r="H5" s="539"/>
      <c r="I5" s="539"/>
      <c r="J5" s="539"/>
      <c r="K5" s="539"/>
      <c r="L5" s="539"/>
      <c r="M5" s="539"/>
      <c r="N5" s="36"/>
      <c r="O5" s="1"/>
    </row>
    <row r="6" spans="1:15" ht="13.5" thickBot="1" x14ac:dyDescent="0.25">
      <c r="A6" s="1"/>
      <c r="B6" s="6"/>
      <c r="C6" s="37"/>
      <c r="D6" s="37"/>
      <c r="E6" s="37"/>
      <c r="F6" s="37"/>
      <c r="G6" s="37"/>
      <c r="H6" s="37"/>
      <c r="I6" s="37"/>
      <c r="J6" s="37"/>
      <c r="K6" s="37"/>
      <c r="L6" s="37"/>
      <c r="M6" s="37"/>
      <c r="N6" s="7"/>
      <c r="O6" s="1"/>
    </row>
    <row r="7" spans="1:15" x14ac:dyDescent="0.2">
      <c r="A7" s="1"/>
      <c r="B7" s="6"/>
      <c r="C7" s="558" t="s">
        <v>3</v>
      </c>
      <c r="D7" s="558"/>
      <c r="E7" s="558"/>
      <c r="F7" s="558"/>
      <c r="G7" s="558"/>
      <c r="H7" s="558"/>
      <c r="I7" s="558"/>
      <c r="J7" s="558"/>
      <c r="K7" s="558"/>
      <c r="L7" s="558"/>
      <c r="M7" s="558"/>
      <c r="N7" s="38"/>
      <c r="O7" s="1"/>
    </row>
    <row r="8" spans="1:15" x14ac:dyDescent="0.2">
      <c r="A8" s="1"/>
      <c r="B8" s="6"/>
      <c r="C8" s="1"/>
      <c r="D8" s="1"/>
      <c r="E8" s="1"/>
      <c r="F8" s="1"/>
      <c r="G8" s="1"/>
      <c r="H8" s="1"/>
      <c r="I8" s="1"/>
      <c r="J8" s="1"/>
      <c r="K8" s="1"/>
      <c r="L8" s="1"/>
      <c r="M8" s="1"/>
      <c r="N8" s="7"/>
      <c r="O8" s="1"/>
    </row>
    <row r="9" spans="1:15" x14ac:dyDescent="0.2">
      <c r="A9" s="1"/>
      <c r="B9" s="6"/>
      <c r="C9" s="548" t="s">
        <v>4</v>
      </c>
      <c r="D9" s="548"/>
      <c r="E9" s="536"/>
      <c r="F9" s="551"/>
      <c r="G9" s="551"/>
      <c r="H9" s="551"/>
      <c r="I9" s="551"/>
      <c r="J9" s="551"/>
      <c r="K9" s="551"/>
      <c r="L9" s="551"/>
      <c r="M9" s="537"/>
      <c r="N9" s="40"/>
      <c r="O9" s="1"/>
    </row>
    <row r="10" spans="1:15" x14ac:dyDescent="0.2">
      <c r="A10" s="1"/>
      <c r="B10" s="6"/>
      <c r="C10" s="41"/>
      <c r="D10" s="41"/>
      <c r="E10" s="1"/>
      <c r="F10" s="1"/>
      <c r="G10" s="1"/>
      <c r="H10" s="1"/>
      <c r="I10" s="1"/>
      <c r="J10" s="1"/>
      <c r="K10" s="1"/>
      <c r="L10" s="1"/>
      <c r="M10" s="1"/>
      <c r="N10" s="7"/>
      <c r="O10" s="1"/>
    </row>
    <row r="11" spans="1:15" x14ac:dyDescent="0.2">
      <c r="A11" s="1"/>
      <c r="B11" s="6"/>
      <c r="C11" s="548" t="s">
        <v>5</v>
      </c>
      <c r="D11" s="548"/>
      <c r="E11" s="536"/>
      <c r="F11" s="551"/>
      <c r="G11" s="551"/>
      <c r="H11" s="551"/>
      <c r="I11" s="551"/>
      <c r="J11" s="551"/>
      <c r="K11" s="551"/>
      <c r="L11" s="551"/>
      <c r="M11" s="537"/>
      <c r="N11" s="40"/>
      <c r="O11" s="1"/>
    </row>
    <row r="12" spans="1:15" x14ac:dyDescent="0.2">
      <c r="A12" s="1"/>
      <c r="B12" s="6"/>
      <c r="C12" s="41"/>
      <c r="D12" s="41"/>
      <c r="E12" s="1"/>
      <c r="F12" s="1"/>
      <c r="G12" s="1"/>
      <c r="H12" s="1"/>
      <c r="I12" s="1"/>
      <c r="J12" s="1"/>
      <c r="K12" s="1"/>
      <c r="L12" s="1"/>
      <c r="M12" s="1"/>
      <c r="N12" s="7"/>
      <c r="O12" s="1"/>
    </row>
    <row r="13" spans="1:15" x14ac:dyDescent="0.2">
      <c r="A13" s="1"/>
      <c r="B13" s="6"/>
      <c r="C13" s="548" t="s">
        <v>6</v>
      </c>
      <c r="D13" s="548"/>
      <c r="E13" s="536"/>
      <c r="F13" s="551"/>
      <c r="G13" s="551"/>
      <c r="H13" s="551"/>
      <c r="I13" s="551"/>
      <c r="J13" s="551"/>
      <c r="K13" s="551"/>
      <c r="L13" s="551"/>
      <c r="M13" s="537"/>
      <c r="N13" s="40"/>
      <c r="O13" s="1"/>
    </row>
    <row r="14" spans="1:15" x14ac:dyDescent="0.2">
      <c r="A14" s="1"/>
      <c r="B14" s="6"/>
      <c r="C14" s="41"/>
      <c r="D14" s="41"/>
      <c r="E14" s="1"/>
      <c r="F14" s="1"/>
      <c r="G14" s="1"/>
      <c r="H14" s="1"/>
      <c r="I14" s="1"/>
      <c r="J14" s="1"/>
      <c r="K14" s="1"/>
      <c r="L14" s="1"/>
      <c r="M14" s="1"/>
      <c r="N14" s="7"/>
      <c r="O14" s="1"/>
    </row>
    <row r="15" spans="1:15" x14ac:dyDescent="0.2">
      <c r="A15" s="1"/>
      <c r="B15" s="6"/>
      <c r="C15" s="548" t="s">
        <v>7</v>
      </c>
      <c r="D15" s="548"/>
      <c r="E15" s="536"/>
      <c r="F15" s="551"/>
      <c r="G15" s="551"/>
      <c r="H15" s="551"/>
      <c r="I15" s="551"/>
      <c r="J15" s="551"/>
      <c r="K15" s="551"/>
      <c r="L15" s="551"/>
      <c r="M15" s="537"/>
      <c r="N15" s="40"/>
      <c r="O15" s="1"/>
    </row>
    <row r="16" spans="1:15" x14ac:dyDescent="0.2">
      <c r="A16" s="1"/>
      <c r="B16" s="6"/>
      <c r="C16" s="41"/>
      <c r="D16" s="41"/>
      <c r="E16" s="1"/>
      <c r="F16" s="1"/>
      <c r="G16" s="1"/>
      <c r="H16" s="1"/>
      <c r="I16" s="1"/>
      <c r="J16" s="1"/>
      <c r="K16" s="1"/>
      <c r="L16" s="1"/>
      <c r="M16" s="1"/>
      <c r="N16" s="7"/>
      <c r="O16" s="1"/>
    </row>
    <row r="17" spans="1:15" ht="15" x14ac:dyDescent="0.25">
      <c r="A17" s="1"/>
      <c r="B17" s="6"/>
      <c r="C17" s="548" t="s">
        <v>8</v>
      </c>
      <c r="D17" s="548"/>
      <c r="E17" s="555"/>
      <c r="F17" s="555"/>
      <c r="G17" s="39" t="s">
        <v>9</v>
      </c>
      <c r="H17" s="39"/>
      <c r="I17" s="39"/>
      <c r="J17" s="42"/>
      <c r="L17" s="556"/>
      <c r="M17" s="557"/>
      <c r="N17" s="38"/>
      <c r="O17" s="1"/>
    </row>
    <row r="18" spans="1:15" x14ac:dyDescent="0.2">
      <c r="A18" s="1"/>
      <c r="B18" s="6"/>
      <c r="C18" s="41"/>
      <c r="D18" s="41"/>
      <c r="E18" s="1"/>
      <c r="F18" s="1"/>
      <c r="G18" s="1"/>
      <c r="H18" s="1"/>
      <c r="I18" s="1"/>
      <c r="J18" s="1"/>
      <c r="K18" s="1"/>
      <c r="L18" s="1"/>
      <c r="M18" s="1"/>
      <c r="N18" s="7"/>
      <c r="O18" s="1"/>
    </row>
    <row r="19" spans="1:15" x14ac:dyDescent="0.2">
      <c r="A19" s="1"/>
      <c r="B19" s="6"/>
      <c r="C19" s="548" t="s">
        <v>10</v>
      </c>
      <c r="D19" s="548"/>
      <c r="E19" s="536"/>
      <c r="F19" s="551"/>
      <c r="G19" s="551"/>
      <c r="H19" s="551"/>
      <c r="I19" s="551"/>
      <c r="J19" s="551"/>
      <c r="K19" s="551"/>
      <c r="L19" s="551"/>
      <c r="M19" s="537"/>
      <c r="N19" s="40"/>
      <c r="O19" s="1"/>
    </row>
    <row r="20" spans="1:15" x14ac:dyDescent="0.2">
      <c r="A20" s="1"/>
      <c r="B20" s="6"/>
      <c r="C20" s="41"/>
      <c r="D20" s="41"/>
      <c r="E20" s="1"/>
      <c r="F20" s="1"/>
      <c r="G20" s="1"/>
      <c r="H20" s="1"/>
      <c r="I20" s="1"/>
      <c r="J20" s="1"/>
      <c r="K20" s="1"/>
      <c r="L20" s="1"/>
      <c r="M20" s="1"/>
      <c r="N20" s="7"/>
      <c r="O20" s="1"/>
    </row>
    <row r="21" spans="1:15" x14ac:dyDescent="0.2">
      <c r="A21" s="1"/>
      <c r="B21" s="6"/>
      <c r="C21" s="548" t="s">
        <v>11</v>
      </c>
      <c r="D21" s="548"/>
      <c r="E21" s="536"/>
      <c r="F21" s="551"/>
      <c r="G21" s="551"/>
      <c r="H21" s="551"/>
      <c r="I21" s="551"/>
      <c r="J21" s="551"/>
      <c r="K21" s="551"/>
      <c r="L21" s="551"/>
      <c r="M21" s="537"/>
      <c r="N21" s="40"/>
      <c r="O21" s="1"/>
    </row>
    <row r="22" spans="1:15" x14ac:dyDescent="0.2">
      <c r="A22" s="1"/>
      <c r="B22" s="6"/>
      <c r="C22" s="41"/>
      <c r="D22" s="41"/>
      <c r="E22" s="1"/>
      <c r="F22" s="1"/>
      <c r="G22" s="1"/>
      <c r="H22" s="1"/>
      <c r="I22" s="1"/>
      <c r="J22" s="1"/>
      <c r="K22" s="1"/>
      <c r="L22" s="1"/>
      <c r="M22" s="1"/>
      <c r="N22" s="7"/>
      <c r="O22" s="1"/>
    </row>
    <row r="23" spans="1:15" x14ac:dyDescent="0.2">
      <c r="A23" s="1"/>
      <c r="B23" s="6"/>
      <c r="C23" s="548" t="s">
        <v>12</v>
      </c>
      <c r="D23" s="548"/>
      <c r="E23" s="552"/>
      <c r="F23" s="553"/>
      <c r="G23" s="553"/>
      <c r="H23" s="553"/>
      <c r="I23" s="553"/>
      <c r="J23" s="553"/>
      <c r="K23" s="553"/>
      <c r="L23" s="553"/>
      <c r="M23" s="554"/>
      <c r="N23" s="40"/>
      <c r="O23" s="1"/>
    </row>
    <row r="24" spans="1:15" x14ac:dyDescent="0.2">
      <c r="A24" s="1"/>
      <c r="B24" s="6"/>
      <c r="C24" s="41"/>
      <c r="D24" s="41"/>
      <c r="E24" s="542"/>
      <c r="F24" s="543"/>
      <c r="G24" s="543"/>
      <c r="H24" s="543"/>
      <c r="I24" s="543"/>
      <c r="J24" s="543"/>
      <c r="K24" s="543"/>
      <c r="L24" s="543"/>
      <c r="M24" s="544"/>
      <c r="N24" s="40"/>
      <c r="O24" s="1"/>
    </row>
    <row r="25" spans="1:15" x14ac:dyDescent="0.2">
      <c r="A25" s="1"/>
      <c r="B25" s="6"/>
      <c r="C25" s="41"/>
      <c r="D25" s="41"/>
      <c r="E25" s="545"/>
      <c r="F25" s="546"/>
      <c r="G25" s="546"/>
      <c r="H25" s="546"/>
      <c r="I25" s="546"/>
      <c r="J25" s="546"/>
      <c r="K25" s="546"/>
      <c r="L25" s="546"/>
      <c r="M25" s="547"/>
      <c r="N25" s="40"/>
      <c r="O25" s="1"/>
    </row>
    <row r="26" spans="1:15" x14ac:dyDescent="0.2">
      <c r="A26" s="1"/>
      <c r="B26" s="6"/>
      <c r="C26" s="41"/>
      <c r="D26" s="41"/>
      <c r="E26" s="1"/>
      <c r="F26" s="1"/>
      <c r="G26" s="1"/>
      <c r="H26" s="1"/>
      <c r="I26" s="1"/>
      <c r="J26" s="1"/>
      <c r="K26" s="1"/>
      <c r="L26" s="1"/>
      <c r="M26" s="1"/>
      <c r="N26" s="7"/>
      <c r="O26" s="1"/>
    </row>
    <row r="27" spans="1:15" x14ac:dyDescent="0.2">
      <c r="A27" s="1"/>
      <c r="B27" s="6"/>
      <c r="C27" s="548" t="s">
        <v>13</v>
      </c>
      <c r="D27" s="548"/>
      <c r="E27" s="549"/>
      <c r="F27" s="549"/>
      <c r="G27" s="41"/>
      <c r="H27" s="548" t="s">
        <v>14</v>
      </c>
      <c r="I27" s="550"/>
      <c r="J27" s="536"/>
      <c r="K27" s="551"/>
      <c r="L27" s="551"/>
      <c r="M27" s="537"/>
      <c r="N27" s="38"/>
      <c r="O27" s="1"/>
    </row>
    <row r="28" spans="1:15" x14ac:dyDescent="0.2">
      <c r="A28" s="1"/>
      <c r="B28" s="6"/>
      <c r="C28" s="1"/>
      <c r="D28" s="1"/>
      <c r="E28" s="1"/>
      <c r="F28" s="1"/>
      <c r="G28" s="1"/>
      <c r="H28" s="1"/>
      <c r="I28" s="1"/>
      <c r="J28" s="1"/>
      <c r="K28" s="1"/>
      <c r="L28" s="1"/>
      <c r="M28" s="1"/>
      <c r="N28" s="7"/>
      <c r="O28" s="1"/>
    </row>
    <row r="29" spans="1:15" ht="15.75" x14ac:dyDescent="0.25">
      <c r="A29" s="1"/>
      <c r="B29" s="6"/>
      <c r="C29" s="539" t="s">
        <v>15</v>
      </c>
      <c r="D29" s="539"/>
      <c r="E29" s="539"/>
      <c r="F29" s="539"/>
      <c r="G29" s="539"/>
      <c r="H29" s="539"/>
      <c r="I29" s="539"/>
      <c r="J29" s="539"/>
      <c r="K29" s="539"/>
      <c r="L29" s="539"/>
      <c r="M29" s="539"/>
      <c r="N29" s="36"/>
      <c r="O29" s="1"/>
    </row>
    <row r="30" spans="1:15" ht="13.5" thickBot="1" x14ac:dyDescent="0.25">
      <c r="A30" s="1"/>
      <c r="B30" s="6"/>
      <c r="C30" s="37"/>
      <c r="D30" s="37"/>
      <c r="E30" s="37"/>
      <c r="F30" s="37"/>
      <c r="G30" s="37"/>
      <c r="H30" s="37"/>
      <c r="I30" s="37"/>
      <c r="J30" s="37"/>
      <c r="K30" s="37"/>
      <c r="L30" s="37"/>
      <c r="M30" s="37"/>
      <c r="N30" s="7"/>
      <c r="O30" s="1"/>
    </row>
    <row r="31" spans="1:15" x14ac:dyDescent="0.2">
      <c r="A31" s="1"/>
      <c r="B31" s="6"/>
      <c r="C31" s="540" t="s">
        <v>16</v>
      </c>
      <c r="D31" s="540"/>
      <c r="E31" s="540"/>
      <c r="F31" s="540"/>
      <c r="G31" s="540"/>
      <c r="H31" s="540"/>
      <c r="I31" s="540"/>
      <c r="J31" s="540"/>
      <c r="K31" s="540"/>
      <c r="L31" s="540"/>
      <c r="M31" s="540"/>
      <c r="N31" s="43"/>
      <c r="O31" s="1"/>
    </row>
    <row r="32" spans="1:15" x14ac:dyDescent="0.2">
      <c r="A32" s="1"/>
      <c r="B32" s="6"/>
      <c r="C32" s="541"/>
      <c r="D32" s="541"/>
      <c r="E32" s="541"/>
      <c r="F32" s="541"/>
      <c r="G32" s="541"/>
      <c r="H32" s="541"/>
      <c r="I32" s="541"/>
      <c r="J32" s="541"/>
      <c r="K32" s="541"/>
      <c r="L32" s="541"/>
      <c r="M32" s="541"/>
      <c r="N32" s="43"/>
      <c r="O32" s="1"/>
    </row>
    <row r="33" spans="1:15" x14ac:dyDescent="0.2">
      <c r="A33" s="1"/>
      <c r="B33" s="6"/>
      <c r="C33" s="1"/>
      <c r="D33" s="1"/>
      <c r="E33" s="1"/>
      <c r="F33" s="1"/>
      <c r="G33" s="1"/>
      <c r="H33" s="1"/>
      <c r="I33" s="1"/>
      <c r="J33" s="1"/>
      <c r="K33" s="1"/>
      <c r="L33" s="1"/>
      <c r="M33" s="1"/>
      <c r="N33" s="7"/>
      <c r="O33" s="1"/>
    </row>
    <row r="34" spans="1:15" ht="15" x14ac:dyDescent="0.25">
      <c r="A34" s="1"/>
      <c r="B34" s="6"/>
      <c r="C34" s="44" t="s">
        <v>17</v>
      </c>
      <c r="D34" s="44"/>
      <c r="E34" s="1"/>
      <c r="F34" s="1"/>
      <c r="G34" s="1"/>
      <c r="H34" s="1"/>
      <c r="I34" s="1"/>
      <c r="J34" s="1"/>
      <c r="K34" s="1"/>
      <c r="L34" s="1"/>
      <c r="M34" s="1"/>
      <c r="N34" s="7"/>
      <c r="O34" s="1"/>
    </row>
    <row r="35" spans="1:15" x14ac:dyDescent="0.2">
      <c r="A35" s="1"/>
      <c r="B35" s="6"/>
      <c r="C35" s="1"/>
      <c r="D35" s="1"/>
      <c r="E35" s="1"/>
      <c r="F35" s="1"/>
      <c r="G35" s="1"/>
      <c r="H35" s="1"/>
      <c r="I35" s="1"/>
      <c r="J35" s="1"/>
      <c r="K35" s="1"/>
      <c r="L35" s="1"/>
      <c r="M35" s="1"/>
      <c r="N35" s="7"/>
      <c r="O35" s="1"/>
    </row>
    <row r="36" spans="1:15" x14ac:dyDescent="0.2">
      <c r="A36" s="1"/>
      <c r="B36" s="6"/>
      <c r="C36" s="535" t="s">
        <v>18</v>
      </c>
      <c r="D36" s="535"/>
      <c r="E36" s="535"/>
      <c r="F36" s="536"/>
      <c r="G36" s="537"/>
      <c r="H36" s="1"/>
      <c r="I36" s="535" t="s">
        <v>19</v>
      </c>
      <c r="J36" s="535"/>
      <c r="K36" s="535"/>
      <c r="L36" s="536"/>
      <c r="M36" s="537"/>
      <c r="N36" s="45"/>
      <c r="O36" s="1"/>
    </row>
    <row r="37" spans="1:15" x14ac:dyDescent="0.2">
      <c r="A37" s="1"/>
      <c r="B37" s="6"/>
      <c r="C37" s="16"/>
      <c r="D37" s="16"/>
      <c r="E37" s="1"/>
      <c r="F37" s="1"/>
      <c r="G37" s="1"/>
      <c r="H37" s="1"/>
      <c r="I37" s="1"/>
      <c r="J37" s="1"/>
      <c r="K37" s="1"/>
      <c r="L37" s="1"/>
      <c r="M37" s="1"/>
      <c r="N37" s="7"/>
      <c r="O37" s="1"/>
    </row>
    <row r="38" spans="1:15" x14ac:dyDescent="0.2">
      <c r="A38" s="1"/>
      <c r="B38" s="6"/>
      <c r="C38" s="535" t="s">
        <v>20</v>
      </c>
      <c r="D38" s="535"/>
      <c r="E38" s="535"/>
      <c r="F38" s="536"/>
      <c r="G38" s="537"/>
      <c r="H38" s="1"/>
      <c r="I38" s="538" t="s">
        <v>21</v>
      </c>
      <c r="J38" s="538"/>
      <c r="K38" s="538"/>
      <c r="L38" s="536"/>
      <c r="M38" s="537"/>
      <c r="N38" s="7"/>
      <c r="O38" s="1"/>
    </row>
    <row r="39" spans="1:15" x14ac:dyDescent="0.2">
      <c r="A39" s="1"/>
      <c r="B39" s="6"/>
      <c r="C39" s="9"/>
      <c r="D39" s="9"/>
      <c r="E39" s="1"/>
      <c r="F39" s="1"/>
      <c r="G39" s="1"/>
      <c r="H39" s="1"/>
      <c r="I39" s="538"/>
      <c r="J39" s="538"/>
      <c r="K39" s="538"/>
      <c r="L39" s="1"/>
      <c r="M39" s="1"/>
      <c r="N39" s="7"/>
      <c r="O39" s="1"/>
    </row>
    <row r="40" spans="1:15" x14ac:dyDescent="0.2">
      <c r="A40" s="1"/>
      <c r="B40" s="6"/>
      <c r="C40" s="535" t="s">
        <v>22</v>
      </c>
      <c r="D40" s="535"/>
      <c r="E40" s="535"/>
      <c r="F40" s="536"/>
      <c r="G40" s="537"/>
      <c r="H40" s="1"/>
      <c r="I40" s="535"/>
      <c r="J40" s="535"/>
      <c r="K40" s="535"/>
      <c r="L40" s="1"/>
      <c r="M40" s="1"/>
      <c r="N40" s="7"/>
      <c r="O40" s="1"/>
    </row>
    <row r="41" spans="1:15" x14ac:dyDescent="0.2">
      <c r="A41" s="1"/>
      <c r="B41" s="6"/>
      <c r="C41" s="9"/>
      <c r="D41" s="9"/>
      <c r="E41" s="1"/>
      <c r="F41" s="1"/>
      <c r="G41" s="1"/>
      <c r="H41" s="1"/>
      <c r="I41" s="1"/>
      <c r="J41" s="1"/>
      <c r="K41" s="1"/>
      <c r="L41" s="1"/>
      <c r="M41" s="1"/>
      <c r="N41" s="7"/>
      <c r="O41" s="1"/>
    </row>
    <row r="42" spans="1:15" x14ac:dyDescent="0.2">
      <c r="A42" s="1"/>
      <c r="B42" s="6"/>
      <c r="C42" s="9" t="s">
        <v>23</v>
      </c>
      <c r="D42" s="1"/>
      <c r="E42" s="1"/>
      <c r="F42" s="532"/>
      <c r="G42" s="533"/>
      <c r="H42" s="533"/>
      <c r="I42" s="533"/>
      <c r="J42" s="533"/>
      <c r="K42" s="533"/>
      <c r="L42" s="533"/>
      <c r="M42" s="534"/>
      <c r="N42" s="7"/>
      <c r="O42" s="1"/>
    </row>
    <row r="43" spans="1:15" x14ac:dyDescent="0.2">
      <c r="A43" s="1"/>
      <c r="B43" s="6"/>
      <c r="C43" s="9"/>
      <c r="D43" s="1"/>
      <c r="E43" s="1"/>
      <c r="F43" s="526"/>
      <c r="G43" s="527"/>
      <c r="H43" s="527"/>
      <c r="I43" s="527"/>
      <c r="J43" s="527"/>
      <c r="K43" s="527"/>
      <c r="L43" s="527"/>
      <c r="M43" s="528"/>
      <c r="N43" s="7"/>
      <c r="O43" s="1"/>
    </row>
    <row r="44" spans="1:15" x14ac:dyDescent="0.2">
      <c r="A44" s="1"/>
      <c r="B44" s="6"/>
      <c r="C44" s="9"/>
      <c r="D44" s="1"/>
      <c r="E44" s="1"/>
      <c r="F44" s="47"/>
      <c r="G44" s="48"/>
      <c r="H44" s="48"/>
      <c r="I44" s="48"/>
      <c r="J44" s="48"/>
      <c r="K44" s="48"/>
      <c r="L44" s="48"/>
      <c r="M44" s="49"/>
      <c r="N44" s="7"/>
      <c r="O44" s="1"/>
    </row>
    <row r="45" spans="1:15" x14ac:dyDescent="0.2">
      <c r="A45" s="1"/>
      <c r="B45" s="6"/>
      <c r="C45" s="9"/>
      <c r="D45" s="1"/>
      <c r="E45" s="1"/>
      <c r="F45" s="47"/>
      <c r="G45" s="48"/>
      <c r="H45" s="48"/>
      <c r="I45" s="48"/>
      <c r="J45" s="48"/>
      <c r="K45" s="48"/>
      <c r="L45" s="48"/>
      <c r="M45" s="49"/>
      <c r="N45" s="7"/>
      <c r="O45" s="1"/>
    </row>
    <row r="46" spans="1:15" x14ac:dyDescent="0.2">
      <c r="A46" s="1"/>
      <c r="B46" s="6"/>
      <c r="C46" s="9"/>
      <c r="D46" s="1"/>
      <c r="E46" s="1"/>
      <c r="F46" s="526"/>
      <c r="G46" s="527"/>
      <c r="H46" s="527"/>
      <c r="I46" s="527"/>
      <c r="J46" s="527"/>
      <c r="K46" s="527"/>
      <c r="L46" s="527"/>
      <c r="M46" s="528"/>
      <c r="N46" s="7"/>
      <c r="O46" s="1"/>
    </row>
    <row r="47" spans="1:15" x14ac:dyDescent="0.2">
      <c r="A47" s="1"/>
      <c r="B47" s="6"/>
      <c r="C47" s="9"/>
      <c r="D47" s="9"/>
      <c r="E47" s="1"/>
      <c r="F47" s="526"/>
      <c r="G47" s="527"/>
      <c r="H47" s="527"/>
      <c r="I47" s="527"/>
      <c r="J47" s="527"/>
      <c r="K47" s="527"/>
      <c r="L47" s="527"/>
      <c r="M47" s="528"/>
      <c r="N47" s="7"/>
      <c r="O47" s="1"/>
    </row>
    <row r="48" spans="1:15" x14ac:dyDescent="0.2">
      <c r="A48" s="1"/>
      <c r="B48" s="6"/>
      <c r="C48" s="1"/>
      <c r="D48" s="1"/>
      <c r="E48" s="1"/>
      <c r="F48" s="529"/>
      <c r="G48" s="530"/>
      <c r="H48" s="530"/>
      <c r="I48" s="530"/>
      <c r="J48" s="530"/>
      <c r="K48" s="530"/>
      <c r="L48" s="530"/>
      <c r="M48" s="531"/>
      <c r="N48" s="45"/>
      <c r="O48" s="1"/>
    </row>
    <row r="49" spans="1:15" x14ac:dyDescent="0.2">
      <c r="A49" s="1"/>
      <c r="B49" s="6"/>
      <c r="C49" s="9"/>
      <c r="D49" s="9"/>
      <c r="E49" s="16"/>
      <c r="F49" s="1"/>
      <c r="G49" s="1"/>
      <c r="H49" s="1"/>
      <c r="I49" s="1"/>
      <c r="J49" s="1"/>
      <c r="K49" s="1"/>
      <c r="L49" s="1"/>
      <c r="M49" s="1"/>
      <c r="N49" s="7"/>
      <c r="O49" s="1"/>
    </row>
    <row r="50" spans="1:15" x14ac:dyDescent="0.2">
      <c r="A50" s="1"/>
      <c r="B50" s="6"/>
      <c r="C50" s="9" t="s">
        <v>24</v>
      </c>
      <c r="D50" s="1"/>
      <c r="E50" s="1"/>
      <c r="F50" s="532"/>
      <c r="G50" s="533"/>
      <c r="H50" s="533"/>
      <c r="I50" s="533"/>
      <c r="J50" s="533"/>
      <c r="K50" s="533"/>
      <c r="L50" s="533"/>
      <c r="M50" s="534"/>
      <c r="N50" s="7"/>
      <c r="O50" s="1"/>
    </row>
    <row r="51" spans="1:15" x14ac:dyDescent="0.2">
      <c r="A51" s="1"/>
      <c r="B51" s="6"/>
      <c r="C51" s="9"/>
      <c r="D51" s="1"/>
      <c r="E51" s="1"/>
      <c r="F51" s="526"/>
      <c r="G51" s="527"/>
      <c r="H51" s="527"/>
      <c r="I51" s="527"/>
      <c r="J51" s="527"/>
      <c r="K51" s="527"/>
      <c r="L51" s="527"/>
      <c r="M51" s="528"/>
      <c r="N51" s="7"/>
      <c r="O51" s="1"/>
    </row>
    <row r="52" spans="1:15" x14ac:dyDescent="0.2">
      <c r="A52" s="1"/>
      <c r="B52" s="6"/>
      <c r="C52" s="9"/>
      <c r="D52" s="1"/>
      <c r="E52" s="1"/>
      <c r="F52" s="47"/>
      <c r="G52" s="48"/>
      <c r="H52" s="48"/>
      <c r="I52" s="48"/>
      <c r="J52" s="48"/>
      <c r="K52" s="48"/>
      <c r="L52" s="48"/>
      <c r="M52" s="49"/>
      <c r="N52" s="7"/>
      <c r="O52" s="1"/>
    </row>
    <row r="53" spans="1:15" x14ac:dyDescent="0.2">
      <c r="A53" s="1"/>
      <c r="B53" s="6"/>
      <c r="C53" s="9"/>
      <c r="D53" s="1"/>
      <c r="E53" s="1"/>
      <c r="F53" s="47"/>
      <c r="G53" s="48"/>
      <c r="H53" s="48"/>
      <c r="I53" s="48"/>
      <c r="J53" s="48"/>
      <c r="K53" s="48"/>
      <c r="L53" s="48"/>
      <c r="M53" s="49"/>
      <c r="N53" s="7"/>
      <c r="O53" s="1"/>
    </row>
    <row r="54" spans="1:15" x14ac:dyDescent="0.2">
      <c r="A54" s="1"/>
      <c r="B54" s="6"/>
      <c r="C54" s="9"/>
      <c r="D54" s="1"/>
      <c r="E54" s="1"/>
      <c r="F54" s="526"/>
      <c r="G54" s="527"/>
      <c r="H54" s="527"/>
      <c r="I54" s="527"/>
      <c r="J54" s="527"/>
      <c r="K54" s="527"/>
      <c r="L54" s="527"/>
      <c r="M54" s="528"/>
      <c r="N54" s="7"/>
      <c r="O54" s="1"/>
    </row>
    <row r="55" spans="1:15" x14ac:dyDescent="0.2">
      <c r="A55" s="1"/>
      <c r="B55" s="6"/>
      <c r="C55" s="9"/>
      <c r="D55" s="9"/>
      <c r="E55" s="1"/>
      <c r="F55" s="526"/>
      <c r="G55" s="527"/>
      <c r="H55" s="527"/>
      <c r="I55" s="527"/>
      <c r="J55" s="527"/>
      <c r="K55" s="527"/>
      <c r="L55" s="527"/>
      <c r="M55" s="528"/>
      <c r="N55" s="7"/>
      <c r="O55" s="1"/>
    </row>
    <row r="56" spans="1:15" x14ac:dyDescent="0.2">
      <c r="A56" s="1"/>
      <c r="B56" s="6"/>
      <c r="C56" s="1"/>
      <c r="D56" s="1"/>
      <c r="E56" s="1"/>
      <c r="F56" s="529"/>
      <c r="G56" s="530"/>
      <c r="H56" s="530"/>
      <c r="I56" s="530"/>
      <c r="J56" s="530"/>
      <c r="K56" s="530"/>
      <c r="L56" s="530"/>
      <c r="M56" s="531"/>
      <c r="N56" s="45"/>
      <c r="O56" s="1"/>
    </row>
    <row r="57" spans="1:15" x14ac:dyDescent="0.2">
      <c r="A57" s="1"/>
      <c r="B57" s="6"/>
      <c r="C57" s="9"/>
      <c r="D57" s="9"/>
      <c r="E57" s="16"/>
      <c r="F57" s="1"/>
      <c r="G57" s="1"/>
      <c r="H57" s="1"/>
      <c r="I57" s="1"/>
      <c r="J57" s="1"/>
      <c r="K57" s="1"/>
      <c r="L57" s="1"/>
      <c r="M57" s="1"/>
      <c r="N57" s="7"/>
      <c r="O57" s="1"/>
    </row>
    <row r="58" spans="1:15" x14ac:dyDescent="0.2">
      <c r="A58" s="1"/>
      <c r="B58" s="50"/>
      <c r="C58" s="32"/>
      <c r="D58" s="32"/>
      <c r="E58" s="32"/>
      <c r="F58" s="32"/>
      <c r="G58" s="32"/>
      <c r="H58" s="32"/>
      <c r="I58" s="32"/>
      <c r="J58" s="32"/>
      <c r="K58" s="32"/>
      <c r="L58" s="32"/>
      <c r="M58" s="32"/>
      <c r="N58" s="33"/>
      <c r="O58" s="1"/>
    </row>
    <row r="59" spans="1:15" x14ac:dyDescent="0.2">
      <c r="A59" s="1"/>
      <c r="B59" s="1"/>
      <c r="C59" s="1"/>
      <c r="D59" s="1"/>
      <c r="E59" s="1"/>
      <c r="F59" s="1"/>
      <c r="G59" s="1"/>
      <c r="H59" s="1"/>
      <c r="I59" s="1"/>
      <c r="J59" s="1"/>
      <c r="K59" s="1"/>
      <c r="L59" s="1"/>
      <c r="M59" s="1"/>
      <c r="N59" s="1"/>
      <c r="O59" s="1"/>
    </row>
  </sheetData>
  <mergeCells count="48">
    <mergeCell ref="C5:M5"/>
    <mergeCell ref="C7:M7"/>
    <mergeCell ref="C9:D9"/>
    <mergeCell ref="E9:M9"/>
    <mergeCell ref="C11:D11"/>
    <mergeCell ref="E11:M11"/>
    <mergeCell ref="C13:D13"/>
    <mergeCell ref="E13:M13"/>
    <mergeCell ref="C15:D15"/>
    <mergeCell ref="E15:M15"/>
    <mergeCell ref="C17:D17"/>
    <mergeCell ref="E17:F17"/>
    <mergeCell ref="L17:M17"/>
    <mergeCell ref="C19:D19"/>
    <mergeCell ref="E19:M19"/>
    <mergeCell ref="C21:D21"/>
    <mergeCell ref="E21:M21"/>
    <mergeCell ref="C23:D23"/>
    <mergeCell ref="E23:M23"/>
    <mergeCell ref="E24:M24"/>
    <mergeCell ref="E25:M25"/>
    <mergeCell ref="C27:D27"/>
    <mergeCell ref="E27:F27"/>
    <mergeCell ref="H27:I27"/>
    <mergeCell ref="J27:M27"/>
    <mergeCell ref="C29:M29"/>
    <mergeCell ref="C31:M32"/>
    <mergeCell ref="C36:E36"/>
    <mergeCell ref="F36:G36"/>
    <mergeCell ref="I36:K36"/>
    <mergeCell ref="L36:M36"/>
    <mergeCell ref="C38:E38"/>
    <mergeCell ref="F38:G38"/>
    <mergeCell ref="I38:K39"/>
    <mergeCell ref="L38:M38"/>
    <mergeCell ref="C40:E40"/>
    <mergeCell ref="F40:G40"/>
    <mergeCell ref="I40:K40"/>
    <mergeCell ref="F51:M51"/>
    <mergeCell ref="F54:M54"/>
    <mergeCell ref="F55:M55"/>
    <mergeCell ref="F56:M56"/>
    <mergeCell ref="F42:M42"/>
    <mergeCell ref="F43:M43"/>
    <mergeCell ref="F46:M46"/>
    <mergeCell ref="F47:M47"/>
    <mergeCell ref="F48:M48"/>
    <mergeCell ref="F50:M50"/>
  </mergeCells>
  <pageMargins left="0.74803149606299213" right="0.74803149606299213" top="0.98425196850393704" bottom="0.98425196850393704" header="0.51181102362204722" footer="0.51181102362204722"/>
  <pageSetup paperSize="9" scale="83" orientation="portrait" horizontalDpi="300" verticalDpi="300" r:id="rId1"/>
  <headerFooter alignWithMargins="0">
    <oddFooter>&amp;C_x000D_&amp;1#&amp;"Calibri"&amp;12&amp;K000000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9D0A-24FF-40F2-B2C8-9AE93ED23B7F}">
  <sheetPr codeName="Sheet2">
    <pageSetUpPr fitToPage="1"/>
  </sheetPr>
  <dimension ref="A1:N55"/>
  <sheetViews>
    <sheetView workbookViewId="0">
      <selection activeCell="C44" sqref="C44:M63"/>
    </sheetView>
  </sheetViews>
  <sheetFormatPr defaultColWidth="0" defaultRowHeight="0" customHeight="1" zeroHeight="1" x14ac:dyDescent="0.25"/>
  <cols>
    <col min="1" max="2" width="2.42578125" style="2" customWidth="1"/>
    <col min="3" max="11" width="9.140625" style="2" customWidth="1"/>
    <col min="12" max="12" width="9.140625" customWidth="1"/>
    <col min="13" max="13" width="2.42578125" style="2" customWidth="1"/>
    <col min="14" max="14" width="2" style="2" customWidth="1"/>
    <col min="15" max="16384" width="8.85546875" style="2" hidden="1"/>
  </cols>
  <sheetData>
    <row r="1" spans="1:14" ht="15" x14ac:dyDescent="0.25">
      <c r="A1" s="1"/>
      <c r="B1" s="1"/>
      <c r="C1" s="1"/>
      <c r="D1" s="1"/>
      <c r="E1" s="1"/>
      <c r="F1" s="1"/>
      <c r="G1" s="1"/>
      <c r="H1" s="1"/>
      <c r="I1" s="1"/>
      <c r="J1" s="1"/>
      <c r="K1" s="1"/>
      <c r="L1" s="457"/>
      <c r="M1" s="1"/>
      <c r="N1" s="1"/>
    </row>
    <row r="2" spans="1:14" ht="15" x14ac:dyDescent="0.25">
      <c r="A2" s="1"/>
      <c r="B2" s="3"/>
      <c r="C2" s="4"/>
      <c r="D2" s="4"/>
      <c r="E2" s="4"/>
      <c r="F2" s="4"/>
      <c r="G2" s="4"/>
      <c r="H2" s="4"/>
      <c r="I2" s="4"/>
      <c r="J2" s="4"/>
      <c r="K2" s="4"/>
      <c r="L2" s="458"/>
      <c r="M2" s="5"/>
      <c r="N2" s="1"/>
    </row>
    <row r="3" spans="1:14" ht="22.5" x14ac:dyDescent="0.45">
      <c r="A3" s="1"/>
      <c r="B3" s="6"/>
      <c r="C3" s="559" t="s">
        <v>25</v>
      </c>
      <c r="D3" s="559"/>
      <c r="E3" s="559"/>
      <c r="F3" s="559"/>
      <c r="G3" s="559"/>
      <c r="H3" s="559"/>
      <c r="I3" s="559"/>
      <c r="J3" s="559"/>
      <c r="K3" s="559"/>
      <c r="L3" s="559"/>
      <c r="M3" s="7"/>
      <c r="N3" s="1"/>
    </row>
    <row r="4" spans="1:14" ht="15" x14ac:dyDescent="0.25">
      <c r="A4" s="1"/>
      <c r="B4" s="6"/>
      <c r="C4" s="1"/>
      <c r="D4" s="1"/>
      <c r="E4" s="1"/>
      <c r="F4" s="1"/>
      <c r="G4" s="1"/>
      <c r="H4" s="1"/>
      <c r="I4" s="1"/>
      <c r="J4" s="1"/>
      <c r="K4" s="1"/>
      <c r="L4" s="457"/>
      <c r="M4" s="7"/>
      <c r="N4" s="1"/>
    </row>
    <row r="5" spans="1:14" ht="12.75" x14ac:dyDescent="0.2">
      <c r="A5" s="1"/>
      <c r="B5" s="6"/>
      <c r="C5" s="560" t="s">
        <v>26</v>
      </c>
      <c r="D5" s="560"/>
      <c r="E5" s="560"/>
      <c r="F5" s="560"/>
      <c r="G5" s="560"/>
      <c r="H5" s="560"/>
      <c r="I5" s="560"/>
      <c r="J5" s="560"/>
      <c r="K5" s="560"/>
      <c r="L5" s="560"/>
      <c r="M5" s="7"/>
      <c r="N5" s="1"/>
    </row>
    <row r="6" spans="1:14" ht="15" x14ac:dyDescent="0.25">
      <c r="A6" s="1"/>
      <c r="B6" s="6"/>
      <c r="C6" s="1"/>
      <c r="D6" s="1"/>
      <c r="E6" s="1"/>
      <c r="F6" s="1"/>
      <c r="G6" s="1"/>
      <c r="H6" s="1"/>
      <c r="I6" s="1"/>
      <c r="J6" s="1"/>
      <c r="K6" s="1"/>
      <c r="L6" s="457"/>
      <c r="M6" s="7"/>
      <c r="N6" s="1"/>
    </row>
    <row r="7" spans="1:14" ht="15" x14ac:dyDescent="0.2">
      <c r="A7" s="1"/>
      <c r="B7" s="6"/>
      <c r="C7" s="51"/>
      <c r="D7" s="52"/>
      <c r="E7" s="52"/>
      <c r="F7" s="52"/>
      <c r="G7" s="52"/>
      <c r="H7" s="52"/>
      <c r="I7" s="52"/>
      <c r="J7" s="52"/>
      <c r="K7" s="52"/>
      <c r="L7" s="459"/>
      <c r="M7" s="7"/>
      <c r="N7" s="1"/>
    </row>
    <row r="8" spans="1:14" ht="15" x14ac:dyDescent="0.2">
      <c r="A8" s="1"/>
      <c r="B8" s="6"/>
      <c r="C8" s="53"/>
      <c r="D8" s="54"/>
      <c r="E8" s="54"/>
      <c r="F8" s="54"/>
      <c r="G8" s="54"/>
      <c r="H8" s="54"/>
      <c r="I8" s="54"/>
      <c r="J8" s="54"/>
      <c r="K8" s="54"/>
      <c r="L8" s="460"/>
      <c r="M8" s="7"/>
      <c r="N8" s="1"/>
    </row>
    <row r="9" spans="1:14" ht="15" x14ac:dyDescent="0.2">
      <c r="A9" s="1"/>
      <c r="B9" s="6"/>
      <c r="C9" s="53"/>
      <c r="D9" s="54"/>
      <c r="E9" s="54"/>
      <c r="F9" s="54"/>
      <c r="G9" s="54"/>
      <c r="H9" s="54"/>
      <c r="I9" s="54"/>
      <c r="J9" s="54"/>
      <c r="K9" s="54"/>
      <c r="L9" s="460"/>
      <c r="M9" s="7"/>
      <c r="N9" s="1"/>
    </row>
    <row r="10" spans="1:14" ht="15" x14ac:dyDescent="0.2">
      <c r="A10" s="1"/>
      <c r="B10" s="6"/>
      <c r="C10" s="53"/>
      <c r="D10" s="54"/>
      <c r="E10" s="54"/>
      <c r="F10" s="54"/>
      <c r="G10" s="54"/>
      <c r="H10" s="54"/>
      <c r="I10" s="54"/>
      <c r="J10" s="54"/>
      <c r="K10" s="54"/>
      <c r="L10" s="460"/>
      <c r="M10" s="7"/>
      <c r="N10" s="1"/>
    </row>
    <row r="11" spans="1:14" ht="15" x14ac:dyDescent="0.2">
      <c r="A11" s="1"/>
      <c r="B11" s="6"/>
      <c r="C11" s="53"/>
      <c r="D11" s="54"/>
      <c r="E11" s="54"/>
      <c r="F11" s="54"/>
      <c r="G11" s="54"/>
      <c r="H11" s="54"/>
      <c r="I11" s="54"/>
      <c r="J11" s="54"/>
      <c r="K11" s="54"/>
      <c r="L11" s="460"/>
      <c r="M11" s="7"/>
      <c r="N11" s="1"/>
    </row>
    <row r="12" spans="1:14" ht="15" x14ac:dyDescent="0.2">
      <c r="A12" s="1"/>
      <c r="B12" s="6"/>
      <c r="C12" s="53"/>
      <c r="D12" s="54"/>
      <c r="E12" s="54"/>
      <c r="F12" s="54"/>
      <c r="G12" s="54"/>
      <c r="H12" s="54"/>
      <c r="I12" s="54"/>
      <c r="J12" s="54"/>
      <c r="K12" s="54"/>
      <c r="L12" s="460"/>
      <c r="M12" s="7"/>
      <c r="N12" s="1"/>
    </row>
    <row r="13" spans="1:14" ht="15" x14ac:dyDescent="0.2">
      <c r="A13" s="1"/>
      <c r="B13" s="6"/>
      <c r="C13" s="53"/>
      <c r="D13" s="54"/>
      <c r="E13" s="54"/>
      <c r="F13" s="54"/>
      <c r="G13" s="54"/>
      <c r="H13" s="54"/>
      <c r="I13" s="54"/>
      <c r="J13" s="54"/>
      <c r="K13" s="54"/>
      <c r="L13" s="460"/>
      <c r="M13" s="7"/>
      <c r="N13" s="1"/>
    </row>
    <row r="14" spans="1:14" ht="15" x14ac:dyDescent="0.2">
      <c r="A14" s="1"/>
      <c r="B14" s="6"/>
      <c r="C14" s="53"/>
      <c r="D14" s="54"/>
      <c r="E14" s="54"/>
      <c r="F14" s="54"/>
      <c r="G14" s="54"/>
      <c r="H14" s="54"/>
      <c r="I14" s="54"/>
      <c r="J14" s="54"/>
      <c r="K14" s="54"/>
      <c r="L14" s="460"/>
      <c r="M14" s="7"/>
      <c r="N14" s="1"/>
    </row>
    <row r="15" spans="1:14" ht="15" x14ac:dyDescent="0.2">
      <c r="A15" s="1"/>
      <c r="B15" s="6"/>
      <c r="C15" s="53"/>
      <c r="D15" s="54"/>
      <c r="E15" s="54"/>
      <c r="F15" s="54"/>
      <c r="G15" s="54"/>
      <c r="H15" s="54"/>
      <c r="I15" s="54"/>
      <c r="J15" s="54"/>
      <c r="K15" s="54"/>
      <c r="L15" s="460"/>
      <c r="M15" s="7"/>
      <c r="N15" s="1"/>
    </row>
    <row r="16" spans="1:14" ht="15" x14ac:dyDescent="0.2">
      <c r="A16" s="1"/>
      <c r="B16" s="6"/>
      <c r="C16" s="53"/>
      <c r="D16" s="54"/>
      <c r="E16" s="54"/>
      <c r="F16" s="54"/>
      <c r="G16" s="54"/>
      <c r="H16" s="54"/>
      <c r="I16" s="54"/>
      <c r="J16" s="54"/>
      <c r="K16" s="54"/>
      <c r="L16" s="460"/>
      <c r="M16" s="7"/>
      <c r="N16" s="1"/>
    </row>
    <row r="17" spans="1:14" ht="15" x14ac:dyDescent="0.2">
      <c r="A17" s="1"/>
      <c r="B17" s="6"/>
      <c r="C17" s="53"/>
      <c r="D17" s="54"/>
      <c r="E17" s="54"/>
      <c r="F17" s="54"/>
      <c r="G17" s="54"/>
      <c r="H17" s="54"/>
      <c r="I17" s="54"/>
      <c r="J17" s="54"/>
      <c r="K17" s="54"/>
      <c r="L17" s="460"/>
      <c r="M17" s="7"/>
      <c r="N17" s="1"/>
    </row>
    <row r="18" spans="1:14" ht="15" x14ac:dyDescent="0.2">
      <c r="A18" s="1"/>
      <c r="B18" s="6"/>
      <c r="C18" s="53"/>
      <c r="D18" s="54"/>
      <c r="E18" s="54"/>
      <c r="F18" s="54"/>
      <c r="G18" s="54"/>
      <c r="H18" s="54"/>
      <c r="I18" s="54"/>
      <c r="J18" s="54"/>
      <c r="K18" s="54"/>
      <c r="L18" s="460"/>
      <c r="M18" s="7"/>
      <c r="N18" s="1"/>
    </row>
    <row r="19" spans="1:14" ht="15" x14ac:dyDescent="0.2">
      <c r="A19" s="1"/>
      <c r="B19" s="6"/>
      <c r="C19" s="53"/>
      <c r="D19" s="54"/>
      <c r="E19" s="54"/>
      <c r="F19" s="54"/>
      <c r="G19" s="54"/>
      <c r="H19" s="54"/>
      <c r="I19" s="54"/>
      <c r="J19" s="54"/>
      <c r="K19" s="54"/>
      <c r="L19" s="460"/>
      <c r="M19" s="7"/>
      <c r="N19" s="1"/>
    </row>
    <row r="20" spans="1:14" ht="15" x14ac:dyDescent="0.2">
      <c r="A20" s="1"/>
      <c r="B20" s="6"/>
      <c r="C20" s="53"/>
      <c r="D20" s="54"/>
      <c r="E20" s="54"/>
      <c r="F20" s="54"/>
      <c r="G20" s="54"/>
      <c r="H20" s="54"/>
      <c r="I20" s="54"/>
      <c r="J20" s="54"/>
      <c r="K20" s="54"/>
      <c r="L20" s="460"/>
      <c r="M20" s="7"/>
      <c r="N20" s="1"/>
    </row>
    <row r="21" spans="1:14" ht="15" x14ac:dyDescent="0.2">
      <c r="A21" s="1"/>
      <c r="B21" s="6"/>
      <c r="C21" s="53"/>
      <c r="D21" s="54"/>
      <c r="E21" s="54"/>
      <c r="F21" s="54"/>
      <c r="G21" s="54"/>
      <c r="H21" s="54"/>
      <c r="I21" s="54"/>
      <c r="J21" s="54"/>
      <c r="K21" s="54"/>
      <c r="L21" s="460"/>
      <c r="M21" s="7"/>
      <c r="N21" s="1"/>
    </row>
    <row r="22" spans="1:14" ht="15" x14ac:dyDescent="0.2">
      <c r="A22" s="1"/>
      <c r="B22" s="6"/>
      <c r="C22" s="53"/>
      <c r="D22" s="54"/>
      <c r="E22" s="54"/>
      <c r="F22" s="54"/>
      <c r="G22" s="54"/>
      <c r="H22" s="54"/>
      <c r="I22" s="54"/>
      <c r="J22" s="54"/>
      <c r="K22" s="54"/>
      <c r="L22" s="460"/>
      <c r="M22" s="7"/>
      <c r="N22" s="1"/>
    </row>
    <row r="23" spans="1:14" ht="15" x14ac:dyDescent="0.2">
      <c r="A23" s="1"/>
      <c r="B23" s="6"/>
      <c r="C23" s="53"/>
      <c r="D23" s="54"/>
      <c r="E23" s="54"/>
      <c r="F23" s="54"/>
      <c r="G23" s="54"/>
      <c r="H23" s="54"/>
      <c r="I23" s="54"/>
      <c r="J23" s="54"/>
      <c r="K23" s="54"/>
      <c r="L23" s="460"/>
      <c r="M23" s="7"/>
      <c r="N23" s="1"/>
    </row>
    <row r="24" spans="1:14" ht="15" x14ac:dyDescent="0.2">
      <c r="A24" s="1"/>
      <c r="B24" s="6"/>
      <c r="C24" s="53"/>
      <c r="D24" s="54"/>
      <c r="E24" s="54"/>
      <c r="F24" s="54"/>
      <c r="G24" s="54"/>
      <c r="H24" s="54"/>
      <c r="I24" s="54"/>
      <c r="J24" s="54"/>
      <c r="K24" s="54"/>
      <c r="L24" s="460"/>
      <c r="M24" s="7"/>
      <c r="N24" s="1"/>
    </row>
    <row r="25" spans="1:14" ht="15" x14ac:dyDescent="0.2">
      <c r="A25" s="1"/>
      <c r="B25" s="6"/>
      <c r="C25" s="53"/>
      <c r="D25" s="54"/>
      <c r="E25" s="54"/>
      <c r="F25" s="54"/>
      <c r="G25" s="54"/>
      <c r="H25" s="54"/>
      <c r="I25" s="54"/>
      <c r="J25" s="54"/>
      <c r="K25" s="54"/>
      <c r="L25" s="460"/>
      <c r="M25" s="7"/>
      <c r="N25" s="1"/>
    </row>
    <row r="26" spans="1:14" ht="15" x14ac:dyDescent="0.2">
      <c r="A26" s="1"/>
      <c r="B26" s="6"/>
      <c r="C26" s="53"/>
      <c r="D26" s="54"/>
      <c r="E26" s="54"/>
      <c r="F26" s="54"/>
      <c r="G26" s="54"/>
      <c r="H26" s="54"/>
      <c r="I26" s="54"/>
      <c r="J26" s="54"/>
      <c r="K26" s="54"/>
      <c r="L26" s="460"/>
      <c r="M26" s="7"/>
      <c r="N26" s="1"/>
    </row>
    <row r="27" spans="1:14" ht="15" x14ac:dyDescent="0.2">
      <c r="A27" s="1"/>
      <c r="B27" s="6"/>
      <c r="C27" s="53"/>
      <c r="D27" s="54"/>
      <c r="E27" s="54"/>
      <c r="F27" s="54"/>
      <c r="G27" s="54"/>
      <c r="H27" s="54"/>
      <c r="I27" s="54"/>
      <c r="J27" s="54"/>
      <c r="K27" s="54"/>
      <c r="L27" s="460"/>
      <c r="M27" s="7"/>
      <c r="N27" s="1"/>
    </row>
    <row r="28" spans="1:14" ht="15" x14ac:dyDescent="0.2">
      <c r="A28" s="1"/>
      <c r="B28" s="6"/>
      <c r="C28" s="53"/>
      <c r="D28" s="54"/>
      <c r="E28" s="54"/>
      <c r="F28" s="54"/>
      <c r="G28" s="54"/>
      <c r="H28" s="54"/>
      <c r="I28" s="54"/>
      <c r="J28" s="54"/>
      <c r="K28" s="54"/>
      <c r="L28" s="460"/>
      <c r="M28" s="7"/>
      <c r="N28" s="1"/>
    </row>
    <row r="29" spans="1:14" ht="15" customHeight="1" x14ac:dyDescent="0.2">
      <c r="A29" s="1"/>
      <c r="B29" s="6"/>
      <c r="C29" s="53"/>
      <c r="D29" s="54"/>
      <c r="E29" s="54"/>
      <c r="F29" s="54"/>
      <c r="G29" s="54"/>
      <c r="H29" s="54"/>
      <c r="I29" s="54"/>
      <c r="J29" s="54"/>
      <c r="K29" s="54"/>
      <c r="L29" s="460"/>
      <c r="M29" s="7"/>
      <c r="N29" s="1"/>
    </row>
    <row r="30" spans="1:14" ht="15" x14ac:dyDescent="0.2">
      <c r="A30" s="1"/>
      <c r="B30" s="6"/>
      <c r="C30" s="53"/>
      <c r="D30" s="54"/>
      <c r="E30" s="54"/>
      <c r="F30" s="54"/>
      <c r="G30" s="54"/>
      <c r="H30" s="54"/>
      <c r="I30" s="54"/>
      <c r="J30" s="54"/>
      <c r="K30" s="54"/>
      <c r="L30" s="460"/>
      <c r="M30" s="7"/>
      <c r="N30" s="1"/>
    </row>
    <row r="31" spans="1:14" ht="15" x14ac:dyDescent="0.2">
      <c r="A31" s="1"/>
      <c r="B31" s="6"/>
      <c r="C31" s="53"/>
      <c r="D31" s="54"/>
      <c r="E31" s="54"/>
      <c r="F31" s="54"/>
      <c r="G31" s="54"/>
      <c r="H31" s="54"/>
      <c r="I31" s="54"/>
      <c r="J31" s="54"/>
      <c r="K31" s="54"/>
      <c r="L31" s="460"/>
      <c r="M31" s="7"/>
      <c r="N31" s="1"/>
    </row>
    <row r="32" spans="1:14" ht="15" x14ac:dyDescent="0.2">
      <c r="A32" s="1"/>
      <c r="B32" s="6"/>
      <c r="C32" s="53"/>
      <c r="D32" s="54"/>
      <c r="E32" s="54"/>
      <c r="F32" s="54"/>
      <c r="G32" s="54"/>
      <c r="H32" s="54"/>
      <c r="I32" s="54"/>
      <c r="J32" s="54"/>
      <c r="K32" s="54"/>
      <c r="L32" s="460"/>
      <c r="M32" s="7"/>
      <c r="N32" s="1"/>
    </row>
    <row r="33" spans="1:14" ht="15" x14ac:dyDescent="0.2">
      <c r="A33" s="1"/>
      <c r="B33" s="6"/>
      <c r="C33" s="53"/>
      <c r="D33" s="54"/>
      <c r="E33" s="54"/>
      <c r="F33" s="54"/>
      <c r="G33" s="54"/>
      <c r="H33" s="54"/>
      <c r="I33" s="54"/>
      <c r="J33" s="54"/>
      <c r="K33" s="54"/>
      <c r="L33" s="460"/>
      <c r="M33" s="7"/>
      <c r="N33" s="1"/>
    </row>
    <row r="34" spans="1:14" ht="15" x14ac:dyDescent="0.2">
      <c r="A34" s="1"/>
      <c r="B34" s="6"/>
      <c r="C34" s="53"/>
      <c r="D34" s="54"/>
      <c r="E34" s="54"/>
      <c r="F34" s="54"/>
      <c r="G34" s="54"/>
      <c r="H34" s="54"/>
      <c r="I34" s="54"/>
      <c r="J34" s="54"/>
      <c r="K34" s="54"/>
      <c r="L34" s="460"/>
      <c r="M34" s="7"/>
      <c r="N34" s="1"/>
    </row>
    <row r="35" spans="1:14" ht="15" x14ac:dyDescent="0.2">
      <c r="A35" s="1"/>
      <c r="B35" s="6"/>
      <c r="C35" s="53"/>
      <c r="D35" s="54"/>
      <c r="E35" s="54"/>
      <c r="F35" s="54"/>
      <c r="G35" s="54"/>
      <c r="H35" s="54"/>
      <c r="I35" s="54"/>
      <c r="J35" s="54"/>
      <c r="K35" s="54"/>
      <c r="L35" s="460"/>
      <c r="M35" s="7"/>
      <c r="N35" s="1"/>
    </row>
    <row r="36" spans="1:14" ht="15" x14ac:dyDescent="0.2">
      <c r="A36" s="1"/>
      <c r="B36" s="6"/>
      <c r="C36" s="53"/>
      <c r="D36" s="54"/>
      <c r="E36" s="54"/>
      <c r="F36" s="54"/>
      <c r="G36" s="54"/>
      <c r="H36" s="54"/>
      <c r="I36" s="54"/>
      <c r="J36" s="54"/>
      <c r="K36" s="54"/>
      <c r="L36" s="460"/>
      <c r="M36" s="7"/>
      <c r="N36" s="1"/>
    </row>
    <row r="37" spans="1:14" ht="15" x14ac:dyDescent="0.2">
      <c r="A37" s="1"/>
      <c r="B37" s="6"/>
      <c r="C37" s="53"/>
      <c r="D37" s="54"/>
      <c r="E37" s="54"/>
      <c r="F37" s="54"/>
      <c r="G37" s="54"/>
      <c r="H37" s="54"/>
      <c r="I37" s="54"/>
      <c r="J37" s="54"/>
      <c r="K37" s="54"/>
      <c r="L37" s="460"/>
      <c r="M37" s="7"/>
      <c r="N37" s="1"/>
    </row>
    <row r="38" spans="1:14" ht="15" x14ac:dyDescent="0.2">
      <c r="A38" s="1"/>
      <c r="B38" s="6"/>
      <c r="C38" s="53"/>
      <c r="D38" s="54"/>
      <c r="E38" s="54"/>
      <c r="F38" s="54"/>
      <c r="G38" s="54"/>
      <c r="H38" s="54"/>
      <c r="I38" s="54"/>
      <c r="J38" s="54"/>
      <c r="K38" s="54"/>
      <c r="L38" s="460"/>
      <c r="M38" s="7"/>
      <c r="N38" s="1"/>
    </row>
    <row r="39" spans="1:14" ht="15" x14ac:dyDescent="0.2">
      <c r="A39" s="1"/>
      <c r="B39" s="6"/>
      <c r="C39" s="53"/>
      <c r="D39" s="54"/>
      <c r="E39" s="54"/>
      <c r="F39" s="54"/>
      <c r="G39" s="54"/>
      <c r="H39" s="54"/>
      <c r="I39" s="54"/>
      <c r="J39" s="54"/>
      <c r="K39" s="54"/>
      <c r="L39" s="460"/>
      <c r="M39" s="7"/>
      <c r="N39" s="1"/>
    </row>
    <row r="40" spans="1:14" ht="15" x14ac:dyDescent="0.2">
      <c r="A40" s="1"/>
      <c r="B40" s="6"/>
      <c r="C40" s="53"/>
      <c r="D40" s="54"/>
      <c r="E40" s="54"/>
      <c r="F40" s="54"/>
      <c r="G40" s="54"/>
      <c r="H40" s="54"/>
      <c r="I40" s="54"/>
      <c r="J40" s="54"/>
      <c r="K40" s="54"/>
      <c r="L40" s="460"/>
      <c r="M40" s="7"/>
      <c r="N40" s="1"/>
    </row>
    <row r="41" spans="1:14" ht="15" x14ac:dyDescent="0.2">
      <c r="A41" s="1"/>
      <c r="B41" s="6"/>
      <c r="C41" s="53"/>
      <c r="D41" s="54"/>
      <c r="E41" s="54"/>
      <c r="F41" s="54"/>
      <c r="G41" s="54"/>
      <c r="H41" s="54"/>
      <c r="I41" s="54"/>
      <c r="J41" s="54"/>
      <c r="K41" s="54"/>
      <c r="L41" s="460"/>
      <c r="M41" s="7"/>
      <c r="N41" s="1"/>
    </row>
    <row r="42" spans="1:14" ht="15" x14ac:dyDescent="0.2">
      <c r="A42" s="1"/>
      <c r="B42" s="6"/>
      <c r="C42" s="53"/>
      <c r="D42" s="54"/>
      <c r="E42" s="54"/>
      <c r="F42" s="54"/>
      <c r="G42" s="54"/>
      <c r="H42" s="54"/>
      <c r="I42" s="54"/>
      <c r="J42" s="54"/>
      <c r="K42" s="54"/>
      <c r="L42" s="460"/>
      <c r="M42" s="7"/>
      <c r="N42" s="1"/>
    </row>
    <row r="43" spans="1:14" ht="15" x14ac:dyDescent="0.2">
      <c r="A43" s="1"/>
      <c r="B43" s="6"/>
      <c r="C43" s="53"/>
      <c r="D43" s="54"/>
      <c r="E43" s="54"/>
      <c r="F43" s="54"/>
      <c r="G43" s="54"/>
      <c r="H43" s="54"/>
      <c r="I43" s="54"/>
      <c r="J43" s="54"/>
      <c r="K43" s="54"/>
      <c r="L43" s="460"/>
      <c r="M43" s="7"/>
      <c r="N43" s="1"/>
    </row>
    <row r="44" spans="1:14" ht="15" x14ac:dyDescent="0.2">
      <c r="A44" s="1"/>
      <c r="B44" s="6"/>
      <c r="C44" s="53"/>
      <c r="D44" s="54"/>
      <c r="E44" s="54"/>
      <c r="F44" s="54"/>
      <c r="G44" s="54"/>
      <c r="H44" s="54"/>
      <c r="I44" s="54"/>
      <c r="J44" s="54"/>
      <c r="K44" s="54"/>
      <c r="L44" s="460"/>
      <c r="M44" s="7"/>
      <c r="N44" s="1"/>
    </row>
    <row r="45" spans="1:14" ht="15" x14ac:dyDescent="0.2">
      <c r="A45" s="1"/>
      <c r="B45" s="6"/>
      <c r="C45" s="53"/>
      <c r="D45" s="54"/>
      <c r="E45" s="54"/>
      <c r="F45" s="54"/>
      <c r="G45" s="54"/>
      <c r="H45" s="54"/>
      <c r="I45" s="54"/>
      <c r="J45" s="54"/>
      <c r="K45" s="54"/>
      <c r="L45" s="460"/>
      <c r="M45" s="7"/>
      <c r="N45" s="1"/>
    </row>
    <row r="46" spans="1:14" ht="15" x14ac:dyDescent="0.2">
      <c r="A46" s="1"/>
      <c r="B46" s="6"/>
      <c r="C46" s="53"/>
      <c r="D46" s="54"/>
      <c r="E46" s="54"/>
      <c r="F46" s="54"/>
      <c r="G46" s="54"/>
      <c r="H46" s="54"/>
      <c r="I46" s="54"/>
      <c r="J46" s="54"/>
      <c r="K46" s="54"/>
      <c r="L46" s="460"/>
      <c r="M46" s="7"/>
      <c r="N46" s="1"/>
    </row>
    <row r="47" spans="1:14" ht="15" x14ac:dyDescent="0.2">
      <c r="A47" s="1"/>
      <c r="B47" s="6"/>
      <c r="C47" s="53"/>
      <c r="D47" s="54"/>
      <c r="E47" s="54"/>
      <c r="F47" s="54"/>
      <c r="G47" s="54"/>
      <c r="H47" s="54"/>
      <c r="I47" s="54"/>
      <c r="J47" s="54"/>
      <c r="K47" s="54"/>
      <c r="L47" s="460"/>
      <c r="M47" s="7"/>
      <c r="N47" s="1"/>
    </row>
    <row r="48" spans="1:14" ht="15" x14ac:dyDescent="0.2">
      <c r="A48" s="1"/>
      <c r="B48" s="6"/>
      <c r="C48" s="53"/>
      <c r="D48" s="54"/>
      <c r="E48" s="54"/>
      <c r="F48" s="54"/>
      <c r="G48" s="54"/>
      <c r="H48" s="54"/>
      <c r="I48" s="54"/>
      <c r="J48" s="54"/>
      <c r="K48" s="54"/>
      <c r="L48" s="460"/>
      <c r="M48" s="7"/>
      <c r="N48" s="1"/>
    </row>
    <row r="49" spans="1:14" ht="15" x14ac:dyDescent="0.2">
      <c r="A49" s="1"/>
      <c r="B49" s="6"/>
      <c r="C49" s="53"/>
      <c r="D49" s="54"/>
      <c r="E49" s="54"/>
      <c r="F49" s="54"/>
      <c r="G49" s="54"/>
      <c r="H49" s="54"/>
      <c r="I49" s="54"/>
      <c r="J49" s="54"/>
      <c r="K49" s="54"/>
      <c r="L49" s="460"/>
      <c r="M49" s="7"/>
      <c r="N49" s="1"/>
    </row>
    <row r="50" spans="1:14" ht="15" x14ac:dyDescent="0.2">
      <c r="A50" s="1"/>
      <c r="B50" s="6"/>
      <c r="C50" s="53"/>
      <c r="D50" s="54"/>
      <c r="E50" s="54"/>
      <c r="F50" s="54"/>
      <c r="G50" s="54"/>
      <c r="H50" s="54"/>
      <c r="I50" s="54"/>
      <c r="J50" s="54"/>
      <c r="K50" s="54"/>
      <c r="L50" s="460"/>
      <c r="M50" s="7"/>
      <c r="N50" s="1"/>
    </row>
    <row r="51" spans="1:14" ht="15" x14ac:dyDescent="0.2">
      <c r="A51" s="1"/>
      <c r="B51" s="6"/>
      <c r="C51" s="53"/>
      <c r="D51" s="54"/>
      <c r="E51" s="54"/>
      <c r="F51" s="54"/>
      <c r="G51" s="54"/>
      <c r="H51" s="54"/>
      <c r="I51" s="54"/>
      <c r="J51" s="54"/>
      <c r="K51" s="54"/>
      <c r="L51" s="460"/>
      <c r="M51" s="7"/>
      <c r="N51" s="1"/>
    </row>
    <row r="52" spans="1:14" ht="15" x14ac:dyDescent="0.2">
      <c r="A52" s="1"/>
      <c r="B52" s="6"/>
      <c r="C52" s="53"/>
      <c r="D52" s="54"/>
      <c r="E52" s="54"/>
      <c r="F52" s="54"/>
      <c r="G52" s="54"/>
      <c r="H52" s="54"/>
      <c r="I52" s="54"/>
      <c r="J52" s="54"/>
      <c r="K52" s="54"/>
      <c r="L52" s="460"/>
      <c r="M52" s="7"/>
      <c r="N52" s="1"/>
    </row>
    <row r="53" spans="1:14" ht="13.5" customHeight="1" x14ac:dyDescent="0.2">
      <c r="A53" s="1"/>
      <c r="B53" s="6"/>
      <c r="C53" s="55"/>
      <c r="D53" s="56"/>
      <c r="E53" s="56"/>
      <c r="F53" s="56"/>
      <c r="G53" s="56"/>
      <c r="H53" s="56"/>
      <c r="I53" s="56"/>
      <c r="J53" s="56"/>
      <c r="K53" s="56"/>
      <c r="L53" s="461"/>
      <c r="M53" s="7"/>
      <c r="N53" s="1"/>
    </row>
    <row r="54" spans="1:14" ht="15" x14ac:dyDescent="0.25">
      <c r="A54" s="1"/>
      <c r="B54" s="50"/>
      <c r="C54" s="32"/>
      <c r="D54" s="32"/>
      <c r="E54" s="32"/>
      <c r="F54" s="32"/>
      <c r="G54" s="32"/>
      <c r="H54" s="32"/>
      <c r="I54" s="32"/>
      <c r="J54" s="32"/>
      <c r="K54" s="32"/>
      <c r="L54" s="462"/>
      <c r="M54" s="33"/>
      <c r="N54" s="1"/>
    </row>
    <row r="55" spans="1:14" ht="15" x14ac:dyDescent="0.25">
      <c r="A55" s="1"/>
      <c r="B55" s="1"/>
      <c r="C55" s="1"/>
      <c r="D55" s="1"/>
      <c r="E55" s="1"/>
      <c r="F55" s="1"/>
      <c r="G55" s="1"/>
      <c r="H55" s="1"/>
      <c r="I55" s="1"/>
      <c r="J55" s="1"/>
      <c r="K55" s="1"/>
      <c r="L55" s="457"/>
      <c r="M55" s="1"/>
      <c r="N55" s="1"/>
    </row>
  </sheetData>
  <mergeCells count="2">
    <mergeCell ref="C3:L3"/>
    <mergeCell ref="C5:L5"/>
  </mergeCells>
  <pageMargins left="0.75" right="0.75" top="1" bottom="1" header="0.5" footer="0.5"/>
  <pageSetup paperSize="9" scale="96" orientation="portrait" horizontalDpi="1200" verticalDpi="1200" r:id="rId1"/>
  <headerFooter alignWithMargins="0">
    <oddFooter>&amp;C_x000D_&amp;1#&amp;"Calibri"&amp;12&amp;K000000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1076D-A0D5-432D-BE2F-5D1F1B2C689E}">
  <sheetPr codeName="Sheet03">
    <pageSetUpPr fitToPage="1"/>
  </sheetPr>
  <dimension ref="A1:G280"/>
  <sheetViews>
    <sheetView topLeftCell="A243" workbookViewId="0">
      <selection activeCell="F271" sqref="F271"/>
    </sheetView>
  </sheetViews>
  <sheetFormatPr defaultRowHeight="12.75" x14ac:dyDescent="0.2"/>
  <cols>
    <col min="1" max="1" width="4" style="1" bestFit="1" customWidth="1"/>
    <col min="2" max="2" width="47.42578125" style="68" customWidth="1"/>
    <col min="3" max="3" width="29.85546875" style="1" bestFit="1" customWidth="1"/>
    <col min="4" max="4" width="30.7109375" style="1" customWidth="1"/>
    <col min="5" max="5" width="10.5703125" style="1" customWidth="1"/>
    <col min="6" max="6" width="13.42578125" style="2" customWidth="1"/>
    <col min="7" max="7" width="13.7109375" style="2" customWidth="1"/>
    <col min="8" max="16384" width="9.140625" style="2"/>
  </cols>
  <sheetData>
    <row r="1" spans="1:7" ht="18.75" thickBot="1" x14ac:dyDescent="0.25">
      <c r="A1" s="57" t="s">
        <v>27</v>
      </c>
      <c r="B1" s="57"/>
      <c r="C1" s="57"/>
      <c r="D1" s="58"/>
      <c r="E1" s="57"/>
    </row>
    <row r="2" spans="1:7" ht="18.75" customHeight="1" x14ac:dyDescent="0.2">
      <c r="A2" s="561" t="s">
        <v>28</v>
      </c>
      <c r="B2" s="563" t="s">
        <v>29</v>
      </c>
      <c r="C2" s="563" t="s">
        <v>30</v>
      </c>
      <c r="D2" s="565" t="s">
        <v>31</v>
      </c>
      <c r="E2" s="567" t="s">
        <v>32</v>
      </c>
    </row>
    <row r="3" spans="1:7" ht="18.75" customHeight="1" thickBot="1" x14ac:dyDescent="0.25">
      <c r="A3" s="562"/>
      <c r="B3" s="564"/>
      <c r="C3" s="564"/>
      <c r="D3" s="566"/>
      <c r="E3" s="568"/>
    </row>
    <row r="4" spans="1:7" ht="22.5" x14ac:dyDescent="0.2">
      <c r="A4" s="59" t="s">
        <v>33</v>
      </c>
      <c r="B4" s="60" t="s">
        <v>34</v>
      </c>
      <c r="C4" s="61"/>
      <c r="D4" s="62">
        <v>2554.8285120680189</v>
      </c>
      <c r="E4" s="63" t="s">
        <v>35</v>
      </c>
      <c r="F4" s="21"/>
      <c r="G4" s="21"/>
    </row>
    <row r="5" spans="1:7" ht="33.75" x14ac:dyDescent="0.2">
      <c r="A5" s="59" t="s">
        <v>36</v>
      </c>
      <c r="B5" s="60" t="s">
        <v>37</v>
      </c>
      <c r="C5" s="61"/>
      <c r="D5" s="62">
        <v>398.553247882611</v>
      </c>
      <c r="E5" s="63" t="s">
        <v>38</v>
      </c>
      <c r="F5" s="21"/>
      <c r="G5" s="21"/>
    </row>
    <row r="6" spans="1:7" ht="22.5" x14ac:dyDescent="0.2">
      <c r="A6" s="59" t="s">
        <v>39</v>
      </c>
      <c r="B6" s="60" t="s">
        <v>40</v>
      </c>
      <c r="C6" s="61"/>
      <c r="D6" s="62">
        <v>664.25541313768508</v>
      </c>
      <c r="E6" s="63" t="s">
        <v>41</v>
      </c>
      <c r="F6" s="21"/>
      <c r="G6" s="21"/>
    </row>
    <row r="7" spans="1:7" ht="22.5" x14ac:dyDescent="0.2">
      <c r="A7" s="59" t="s">
        <v>42</v>
      </c>
      <c r="B7" s="60" t="s">
        <v>43</v>
      </c>
      <c r="C7" s="61"/>
      <c r="D7" s="62" t="s">
        <v>44</v>
      </c>
      <c r="E7" s="63"/>
      <c r="F7" s="21"/>
      <c r="G7" s="21"/>
    </row>
    <row r="8" spans="1:7" ht="22.5" x14ac:dyDescent="0.2">
      <c r="A8" s="59" t="s">
        <v>45</v>
      </c>
      <c r="B8" s="60" t="s">
        <v>46</v>
      </c>
      <c r="C8" s="61"/>
      <c r="D8" s="62">
        <v>1124.1245453099286</v>
      </c>
      <c r="E8" s="63" t="s">
        <v>47</v>
      </c>
      <c r="F8" s="21"/>
      <c r="G8" s="21"/>
    </row>
    <row r="9" spans="1:7" ht="22.5" x14ac:dyDescent="0.2">
      <c r="A9" s="59" t="s">
        <v>48</v>
      </c>
      <c r="B9" s="60" t="s">
        <v>49</v>
      </c>
      <c r="C9" s="61"/>
      <c r="D9" s="62">
        <v>1124.1245453099286</v>
      </c>
      <c r="E9" s="63" t="s">
        <v>47</v>
      </c>
      <c r="F9" s="21"/>
      <c r="G9" s="21"/>
    </row>
    <row r="10" spans="1:7" ht="22.5" x14ac:dyDescent="0.2">
      <c r="A10" s="59" t="s">
        <v>50</v>
      </c>
      <c r="B10" s="60" t="s">
        <v>51</v>
      </c>
      <c r="C10" s="61"/>
      <c r="D10" s="62">
        <v>2043.8628096544155</v>
      </c>
      <c r="E10" s="63" t="s">
        <v>47</v>
      </c>
      <c r="F10" s="21"/>
      <c r="G10" s="21"/>
    </row>
    <row r="11" spans="1:7" ht="22.5" x14ac:dyDescent="0.2">
      <c r="A11" s="59" t="s">
        <v>52</v>
      </c>
      <c r="B11" s="60" t="s">
        <v>53</v>
      </c>
      <c r="C11" s="61"/>
      <c r="D11" s="62">
        <v>664.25541313768508</v>
      </c>
      <c r="E11" s="63" t="s">
        <v>47</v>
      </c>
      <c r="F11" s="21"/>
      <c r="G11" s="21"/>
    </row>
    <row r="12" spans="1:7" ht="22.5" x14ac:dyDescent="0.2">
      <c r="A12" s="59" t="s">
        <v>54</v>
      </c>
      <c r="B12" s="60" t="s">
        <v>55</v>
      </c>
      <c r="C12" s="61"/>
      <c r="D12" s="62">
        <v>2810.3113632748209</v>
      </c>
      <c r="E12" s="63" t="s">
        <v>47</v>
      </c>
      <c r="F12" s="21"/>
      <c r="G12" s="21"/>
    </row>
    <row r="13" spans="1:7" ht="22.5" x14ac:dyDescent="0.2">
      <c r="A13" s="59" t="s">
        <v>56</v>
      </c>
      <c r="B13" s="60" t="s">
        <v>57</v>
      </c>
      <c r="C13" s="61"/>
      <c r="D13" s="62">
        <v>255.48285120680194</v>
      </c>
      <c r="E13" s="63" t="s">
        <v>41</v>
      </c>
      <c r="F13" s="21"/>
      <c r="G13" s="21"/>
    </row>
    <row r="14" spans="1:7" ht="22.5" x14ac:dyDescent="0.2">
      <c r="A14" s="59" t="s">
        <v>58</v>
      </c>
      <c r="B14" s="60" t="s">
        <v>59</v>
      </c>
      <c r="C14" s="61"/>
      <c r="D14" s="62">
        <v>1274.8161253437713</v>
      </c>
      <c r="E14" s="63" t="s">
        <v>41</v>
      </c>
      <c r="F14" s="21"/>
      <c r="G14" s="21"/>
    </row>
    <row r="15" spans="1:7" ht="22.5" x14ac:dyDescent="0.2">
      <c r="A15" s="59" t="s">
        <v>60</v>
      </c>
      <c r="B15" s="60" t="s">
        <v>61</v>
      </c>
      <c r="C15" s="61"/>
      <c r="D15" s="62">
        <v>1124.1245453099286</v>
      </c>
      <c r="E15" s="63" t="s">
        <v>47</v>
      </c>
      <c r="F15" s="21"/>
      <c r="G15" s="21"/>
    </row>
    <row r="16" spans="1:7" ht="22.5" x14ac:dyDescent="0.2">
      <c r="A16" s="59" t="s">
        <v>62</v>
      </c>
      <c r="B16" s="60" t="s">
        <v>63</v>
      </c>
      <c r="C16" s="61"/>
      <c r="D16" s="62" t="s">
        <v>64</v>
      </c>
      <c r="E16" s="63"/>
      <c r="F16" s="21"/>
      <c r="G16" s="21"/>
    </row>
    <row r="17" spans="1:7" ht="22.5" x14ac:dyDescent="0.2">
      <c r="A17" s="59" t="s">
        <v>65</v>
      </c>
      <c r="B17" s="60" t="s">
        <v>63</v>
      </c>
      <c r="C17" s="61" t="s">
        <v>66</v>
      </c>
      <c r="D17" s="62">
        <v>4.8250998533003768</v>
      </c>
      <c r="E17" s="63"/>
      <c r="F17" s="21"/>
      <c r="G17" s="21"/>
    </row>
    <row r="18" spans="1:7" ht="22.5" x14ac:dyDescent="0.2">
      <c r="A18" s="59" t="s">
        <v>67</v>
      </c>
      <c r="B18" s="60" t="s">
        <v>63</v>
      </c>
      <c r="C18" s="61" t="s">
        <v>68</v>
      </c>
      <c r="D18" s="62">
        <v>6.4582105728789641</v>
      </c>
      <c r="E18" s="63"/>
      <c r="F18" s="21"/>
      <c r="G18" s="21"/>
    </row>
    <row r="19" spans="1:7" ht="22.5" x14ac:dyDescent="0.2">
      <c r="A19" s="59" t="s">
        <v>69</v>
      </c>
      <c r="B19" s="60" t="s">
        <v>63</v>
      </c>
      <c r="C19" s="61" t="s">
        <v>70</v>
      </c>
      <c r="D19" s="62">
        <v>8.5119710232580967</v>
      </c>
      <c r="E19" s="63"/>
      <c r="F19" s="21"/>
      <c r="G19" s="21"/>
    </row>
    <row r="20" spans="1:7" ht="22.5" x14ac:dyDescent="0.2">
      <c r="A20" s="59" t="s">
        <v>71</v>
      </c>
      <c r="B20" s="60" t="s">
        <v>63</v>
      </c>
      <c r="C20" s="61" t="s">
        <v>72</v>
      </c>
      <c r="D20" s="62">
        <v>11.29568247708524</v>
      </c>
      <c r="E20" s="63"/>
      <c r="F20" s="21"/>
      <c r="G20" s="21"/>
    </row>
    <row r="21" spans="1:7" ht="22.5" x14ac:dyDescent="0.2">
      <c r="A21" s="59" t="s">
        <v>73</v>
      </c>
      <c r="B21" s="60" t="s">
        <v>74</v>
      </c>
      <c r="C21" s="61"/>
      <c r="D21" s="62" t="s">
        <v>64</v>
      </c>
      <c r="E21" s="63"/>
      <c r="F21" s="21"/>
      <c r="G21" s="21"/>
    </row>
    <row r="22" spans="1:7" ht="22.5" x14ac:dyDescent="0.2">
      <c r="A22" s="59" t="s">
        <v>75</v>
      </c>
      <c r="B22" s="60" t="s">
        <v>74</v>
      </c>
      <c r="C22" s="61" t="s">
        <v>66</v>
      </c>
      <c r="D22" s="62" t="s">
        <v>76</v>
      </c>
      <c r="E22" s="63"/>
      <c r="F22" s="21"/>
      <c r="G22" s="21"/>
    </row>
    <row r="23" spans="1:7" ht="22.5" x14ac:dyDescent="0.2">
      <c r="A23" s="59" t="s">
        <v>77</v>
      </c>
      <c r="B23" s="60" t="s">
        <v>74</v>
      </c>
      <c r="C23" s="61" t="s">
        <v>68</v>
      </c>
      <c r="D23" s="62" t="s">
        <v>76</v>
      </c>
      <c r="E23" s="63"/>
      <c r="F23" s="21"/>
      <c r="G23" s="21"/>
    </row>
    <row r="24" spans="1:7" ht="22.5" x14ac:dyDescent="0.2">
      <c r="A24" s="59" t="s">
        <v>78</v>
      </c>
      <c r="B24" s="60" t="s">
        <v>74</v>
      </c>
      <c r="C24" s="61" t="s">
        <v>70</v>
      </c>
      <c r="D24" s="62" t="s">
        <v>76</v>
      </c>
      <c r="E24" s="63"/>
      <c r="F24" s="21"/>
      <c r="G24" s="21"/>
    </row>
    <row r="25" spans="1:7" ht="22.5" x14ac:dyDescent="0.2">
      <c r="A25" s="59" t="s">
        <v>79</v>
      </c>
      <c r="B25" s="60" t="s">
        <v>74</v>
      </c>
      <c r="C25" s="61" t="s">
        <v>72</v>
      </c>
      <c r="D25" s="62" t="s">
        <v>76</v>
      </c>
      <c r="E25" s="63"/>
      <c r="F25" s="21"/>
      <c r="G25" s="21"/>
    </row>
    <row r="26" spans="1:7" ht="22.5" x14ac:dyDescent="0.2">
      <c r="A26" s="59" t="s">
        <v>80</v>
      </c>
      <c r="B26" s="60" t="s">
        <v>81</v>
      </c>
      <c r="C26" s="61"/>
      <c r="D26" s="62" t="s">
        <v>64</v>
      </c>
      <c r="E26" s="63" t="s">
        <v>82</v>
      </c>
      <c r="F26" s="21"/>
      <c r="G26" s="21"/>
    </row>
    <row r="27" spans="1:7" ht="22.5" x14ac:dyDescent="0.2">
      <c r="A27" s="59" t="s">
        <v>83</v>
      </c>
      <c r="B27" s="60" t="s">
        <v>81</v>
      </c>
      <c r="C27" s="61" t="s">
        <v>66</v>
      </c>
      <c r="D27" s="62" t="s">
        <v>76</v>
      </c>
      <c r="E27" s="63" t="s">
        <v>82</v>
      </c>
      <c r="F27" s="21"/>
      <c r="G27" s="21"/>
    </row>
    <row r="28" spans="1:7" ht="22.5" x14ac:dyDescent="0.2">
      <c r="A28" s="59" t="s">
        <v>84</v>
      </c>
      <c r="B28" s="60" t="s">
        <v>81</v>
      </c>
      <c r="C28" s="61" t="s">
        <v>68</v>
      </c>
      <c r="D28" s="62" t="s">
        <v>76</v>
      </c>
      <c r="E28" s="63" t="s">
        <v>82</v>
      </c>
      <c r="F28" s="21"/>
      <c r="G28" s="21"/>
    </row>
    <row r="29" spans="1:7" ht="22.5" x14ac:dyDescent="0.2">
      <c r="A29" s="59" t="s">
        <v>85</v>
      </c>
      <c r="B29" s="60" t="s">
        <v>81</v>
      </c>
      <c r="C29" s="61" t="s">
        <v>70</v>
      </c>
      <c r="D29" s="62" t="s">
        <v>76</v>
      </c>
      <c r="E29" s="63" t="s">
        <v>82</v>
      </c>
      <c r="F29" s="21"/>
      <c r="G29" s="21"/>
    </row>
    <row r="30" spans="1:7" ht="22.5" x14ac:dyDescent="0.2">
      <c r="A30" s="59" t="s">
        <v>86</v>
      </c>
      <c r="B30" s="60" t="s">
        <v>81</v>
      </c>
      <c r="C30" s="61" t="s">
        <v>72</v>
      </c>
      <c r="D30" s="62" t="s">
        <v>76</v>
      </c>
      <c r="E30" s="63" t="s">
        <v>82</v>
      </c>
      <c r="F30" s="21"/>
      <c r="G30" s="21"/>
    </row>
    <row r="31" spans="1:7" x14ac:dyDescent="0.2">
      <c r="A31" s="59" t="s">
        <v>87</v>
      </c>
      <c r="B31" s="60" t="s">
        <v>88</v>
      </c>
      <c r="C31" s="61"/>
      <c r="D31" s="62" t="s">
        <v>64</v>
      </c>
      <c r="E31" s="63" t="s">
        <v>82</v>
      </c>
      <c r="F31" s="21"/>
      <c r="G31" s="21"/>
    </row>
    <row r="32" spans="1:7" x14ac:dyDescent="0.2">
      <c r="A32" s="59" t="s">
        <v>89</v>
      </c>
      <c r="B32" s="60" t="s">
        <v>88</v>
      </c>
      <c r="C32" s="61" t="s">
        <v>66</v>
      </c>
      <c r="D32" s="62">
        <v>2.3504422311025772</v>
      </c>
      <c r="E32" s="63" t="s">
        <v>82</v>
      </c>
      <c r="F32" s="21"/>
      <c r="G32" s="21"/>
    </row>
    <row r="33" spans="1:7" x14ac:dyDescent="0.2">
      <c r="A33" s="59" t="s">
        <v>90</v>
      </c>
      <c r="B33" s="60" t="s">
        <v>88</v>
      </c>
      <c r="C33" s="61" t="s">
        <v>68</v>
      </c>
      <c r="D33" s="62">
        <v>2.9636010739989023</v>
      </c>
      <c r="E33" s="63" t="s">
        <v>82</v>
      </c>
      <c r="F33" s="21"/>
      <c r="G33" s="21"/>
    </row>
    <row r="34" spans="1:7" x14ac:dyDescent="0.2">
      <c r="A34" s="59" t="s">
        <v>91</v>
      </c>
      <c r="B34" s="60" t="s">
        <v>88</v>
      </c>
      <c r="C34" s="61" t="s">
        <v>70</v>
      </c>
      <c r="D34" s="62">
        <v>3.6789530573779481</v>
      </c>
      <c r="E34" s="63" t="s">
        <v>82</v>
      </c>
      <c r="F34" s="21"/>
      <c r="G34" s="21"/>
    </row>
    <row r="35" spans="1:7" x14ac:dyDescent="0.2">
      <c r="A35" s="59" t="s">
        <v>92</v>
      </c>
      <c r="B35" s="60" t="s">
        <v>88</v>
      </c>
      <c r="C35" s="61" t="s">
        <v>72</v>
      </c>
      <c r="D35" s="62">
        <v>4.4964981812397147</v>
      </c>
      <c r="E35" s="63" t="s">
        <v>82</v>
      </c>
      <c r="F35" s="21"/>
      <c r="G35" s="21"/>
    </row>
    <row r="36" spans="1:7" ht="22.5" x14ac:dyDescent="0.2">
      <c r="A36" s="59" t="s">
        <v>93</v>
      </c>
      <c r="B36" s="60" t="s">
        <v>94</v>
      </c>
      <c r="C36" s="61"/>
      <c r="D36" s="62">
        <v>2810.3113632748209</v>
      </c>
      <c r="E36" s="63" t="s">
        <v>47</v>
      </c>
      <c r="F36" s="21"/>
      <c r="G36" s="21"/>
    </row>
    <row r="37" spans="1:7" ht="22.5" x14ac:dyDescent="0.2">
      <c r="A37" s="59" t="s">
        <v>95</v>
      </c>
      <c r="B37" s="60" t="s">
        <v>96</v>
      </c>
      <c r="C37" s="61"/>
      <c r="D37" s="62">
        <v>2043.8628096544155</v>
      </c>
      <c r="E37" s="63" t="s">
        <v>47</v>
      </c>
      <c r="F37" s="21"/>
      <c r="G37" s="21"/>
    </row>
    <row r="38" spans="1:7" x14ac:dyDescent="0.2">
      <c r="A38" s="59" t="s">
        <v>97</v>
      </c>
      <c r="B38" s="60" t="s">
        <v>98</v>
      </c>
      <c r="C38" s="61"/>
      <c r="D38" s="62">
        <v>1532.8971072408115</v>
      </c>
      <c r="E38" s="63" t="s">
        <v>35</v>
      </c>
      <c r="F38" s="21"/>
      <c r="G38" s="21"/>
    </row>
    <row r="39" spans="1:7" x14ac:dyDescent="0.2">
      <c r="A39" s="59" t="s">
        <v>99</v>
      </c>
      <c r="B39" s="60" t="s">
        <v>100</v>
      </c>
      <c r="C39" s="61"/>
      <c r="D39" s="62">
        <v>8.1754512386176614</v>
      </c>
      <c r="E39" s="63" t="s">
        <v>101</v>
      </c>
      <c r="F39" s="21"/>
      <c r="G39" s="21"/>
    </row>
    <row r="40" spans="1:7" ht="22.5" x14ac:dyDescent="0.2">
      <c r="A40" s="59" t="s">
        <v>102</v>
      </c>
      <c r="B40" s="60" t="s">
        <v>103</v>
      </c>
      <c r="C40" s="61"/>
      <c r="D40" s="62">
        <v>1226.3176857926492</v>
      </c>
      <c r="E40" s="63" t="s">
        <v>47</v>
      </c>
      <c r="F40" s="21"/>
      <c r="G40" s="21"/>
    </row>
    <row r="41" spans="1:7" x14ac:dyDescent="0.2">
      <c r="A41" s="59" t="s">
        <v>104</v>
      </c>
      <c r="B41" s="60" t="s">
        <v>105</v>
      </c>
      <c r="C41" s="61"/>
      <c r="D41" s="62" t="s">
        <v>64</v>
      </c>
      <c r="E41" s="63" t="s">
        <v>82</v>
      </c>
      <c r="F41" s="21"/>
      <c r="G41" s="21"/>
    </row>
    <row r="42" spans="1:7" x14ac:dyDescent="0.2">
      <c r="A42" s="59" t="s">
        <v>106</v>
      </c>
      <c r="B42" s="60" t="s">
        <v>105</v>
      </c>
      <c r="C42" s="61" t="s">
        <v>66</v>
      </c>
      <c r="D42" s="62">
        <v>3.3775698973102637</v>
      </c>
      <c r="E42" s="63" t="s">
        <v>82</v>
      </c>
      <c r="F42" s="21"/>
      <c r="G42" s="21"/>
    </row>
    <row r="43" spans="1:7" x14ac:dyDescent="0.2">
      <c r="A43" s="59" t="s">
        <v>107</v>
      </c>
      <c r="B43" s="60" t="s">
        <v>105</v>
      </c>
      <c r="C43" s="61" t="s">
        <v>68</v>
      </c>
      <c r="D43" s="62">
        <v>4.5207474010152744</v>
      </c>
      <c r="E43" s="63" t="s">
        <v>82</v>
      </c>
      <c r="F43" s="21"/>
      <c r="G43" s="21"/>
    </row>
    <row r="44" spans="1:7" x14ac:dyDescent="0.2">
      <c r="A44" s="59" t="s">
        <v>108</v>
      </c>
      <c r="B44" s="60" t="s">
        <v>105</v>
      </c>
      <c r="C44" s="61" t="s">
        <v>70</v>
      </c>
      <c r="D44" s="62">
        <v>5.9583797162806675</v>
      </c>
      <c r="E44" s="63" t="s">
        <v>82</v>
      </c>
      <c r="F44" s="21"/>
      <c r="G44" s="21"/>
    </row>
    <row r="45" spans="1:7" x14ac:dyDescent="0.2">
      <c r="A45" s="59" t="s">
        <v>109</v>
      </c>
      <c r="B45" s="60" t="s">
        <v>105</v>
      </c>
      <c r="C45" s="61" t="s">
        <v>72</v>
      </c>
      <c r="D45" s="62">
        <v>7.9069777339596676</v>
      </c>
      <c r="E45" s="63" t="s">
        <v>82</v>
      </c>
      <c r="F45" s="21"/>
      <c r="G45" s="21"/>
    </row>
    <row r="46" spans="1:7" x14ac:dyDescent="0.2">
      <c r="A46" s="59" t="s">
        <v>110</v>
      </c>
      <c r="B46" s="60" t="s">
        <v>111</v>
      </c>
      <c r="C46" s="61"/>
      <c r="D46" s="62">
        <v>1021.9314048272078</v>
      </c>
      <c r="E46" s="63" t="s">
        <v>112</v>
      </c>
      <c r="F46" s="21"/>
      <c r="G46" s="21"/>
    </row>
    <row r="47" spans="1:7" ht="22.5" x14ac:dyDescent="0.2">
      <c r="A47" s="59" t="s">
        <v>113</v>
      </c>
      <c r="B47" s="60" t="s">
        <v>114</v>
      </c>
      <c r="C47" s="61"/>
      <c r="D47" s="62" t="s">
        <v>64</v>
      </c>
      <c r="E47" s="63" t="s">
        <v>82</v>
      </c>
      <c r="F47" s="21"/>
      <c r="G47" s="21"/>
    </row>
    <row r="48" spans="1:7" ht="22.5" x14ac:dyDescent="0.2">
      <c r="A48" s="59" t="s">
        <v>115</v>
      </c>
      <c r="B48" s="60" t="s">
        <v>114</v>
      </c>
      <c r="C48" s="61" t="s">
        <v>66</v>
      </c>
      <c r="D48" s="62">
        <v>2.8233020167260143</v>
      </c>
      <c r="E48" s="63" t="s">
        <v>82</v>
      </c>
      <c r="F48" s="21"/>
      <c r="G48" s="21"/>
    </row>
    <row r="49" spans="1:7" ht="22.5" x14ac:dyDescent="0.2">
      <c r="A49" s="59" t="s">
        <v>116</v>
      </c>
      <c r="B49" s="60" t="s">
        <v>114</v>
      </c>
      <c r="C49" s="61" t="s">
        <v>68</v>
      </c>
      <c r="D49" s="62">
        <v>3.386230332944391</v>
      </c>
      <c r="E49" s="63" t="s">
        <v>82</v>
      </c>
      <c r="F49" s="21"/>
      <c r="G49" s="21"/>
    </row>
    <row r="50" spans="1:7" ht="22.5" x14ac:dyDescent="0.2">
      <c r="A50" s="59" t="s">
        <v>117</v>
      </c>
      <c r="B50" s="60" t="s">
        <v>114</v>
      </c>
      <c r="C50" s="61" t="s">
        <v>70</v>
      </c>
      <c r="D50" s="62">
        <v>5.1702800735749408</v>
      </c>
      <c r="E50" s="63" t="s">
        <v>82</v>
      </c>
      <c r="F50" s="21"/>
      <c r="G50" s="21"/>
    </row>
    <row r="51" spans="1:7" ht="22.5" x14ac:dyDescent="0.2">
      <c r="A51" s="59" t="s">
        <v>118</v>
      </c>
      <c r="B51" s="60" t="s">
        <v>114</v>
      </c>
      <c r="C51" s="61" t="s">
        <v>72</v>
      </c>
      <c r="D51" s="62">
        <v>7.1188780912539409</v>
      </c>
      <c r="E51" s="63" t="s">
        <v>82</v>
      </c>
      <c r="F51" s="21"/>
      <c r="G51" s="21"/>
    </row>
    <row r="52" spans="1:7" x14ac:dyDescent="0.2">
      <c r="A52" s="59" t="s">
        <v>119</v>
      </c>
      <c r="B52" s="60" t="s">
        <v>120</v>
      </c>
      <c r="C52" s="61"/>
      <c r="D52" s="62">
        <v>510.96570241360388</v>
      </c>
      <c r="E52" s="63" t="s">
        <v>47</v>
      </c>
      <c r="F52" s="21"/>
      <c r="G52" s="21"/>
    </row>
    <row r="53" spans="1:7" ht="22.5" x14ac:dyDescent="0.2">
      <c r="A53" s="59" t="s">
        <v>121</v>
      </c>
      <c r="B53" s="60" t="s">
        <v>122</v>
      </c>
      <c r="C53" s="61"/>
      <c r="D53" s="62">
        <v>3576.7599168952274</v>
      </c>
      <c r="E53" s="63" t="s">
        <v>47</v>
      </c>
      <c r="F53" s="21"/>
      <c r="G53" s="21"/>
    </row>
    <row r="54" spans="1:7" ht="22.5" x14ac:dyDescent="0.2">
      <c r="A54" s="59" t="s">
        <v>123</v>
      </c>
      <c r="B54" s="60" t="s">
        <v>124</v>
      </c>
      <c r="C54" s="61"/>
      <c r="D54" s="62">
        <v>919.73826434448688</v>
      </c>
      <c r="E54" s="63" t="s">
        <v>47</v>
      </c>
      <c r="F54" s="21"/>
      <c r="G54" s="21"/>
    </row>
    <row r="55" spans="1:7" x14ac:dyDescent="0.2">
      <c r="A55" s="59" t="s">
        <v>125</v>
      </c>
      <c r="B55" s="60" t="s">
        <v>126</v>
      </c>
      <c r="C55" s="61"/>
      <c r="D55" s="62">
        <v>143.07039667580909</v>
      </c>
      <c r="E55" s="63" t="s">
        <v>47</v>
      </c>
      <c r="F55" s="21"/>
      <c r="G55" s="21"/>
    </row>
    <row r="56" spans="1:7" x14ac:dyDescent="0.2">
      <c r="A56" s="59" t="s">
        <v>127</v>
      </c>
      <c r="B56" s="60" t="s">
        <v>128</v>
      </c>
      <c r="C56" s="61"/>
      <c r="D56" s="62">
        <v>306.57942144816229</v>
      </c>
      <c r="E56" s="63" t="s">
        <v>47</v>
      </c>
      <c r="F56" s="21"/>
      <c r="G56" s="21"/>
    </row>
    <row r="57" spans="1:7" x14ac:dyDescent="0.2">
      <c r="A57" s="59" t="s">
        <v>129</v>
      </c>
      <c r="B57" s="60" t="s">
        <v>130</v>
      </c>
      <c r="C57" s="61"/>
      <c r="D57" s="62">
        <v>8.6604356341288788</v>
      </c>
      <c r="E57" s="63" t="s">
        <v>41</v>
      </c>
      <c r="F57" s="21"/>
      <c r="G57" s="21"/>
    </row>
    <row r="58" spans="1:7" x14ac:dyDescent="0.2">
      <c r="A58" s="59" t="s">
        <v>131</v>
      </c>
      <c r="B58" s="60" t="s">
        <v>132</v>
      </c>
      <c r="C58" s="61"/>
      <c r="D58" s="62">
        <v>17.320871268257758</v>
      </c>
      <c r="E58" s="63"/>
      <c r="F58" s="21"/>
      <c r="G58" s="21"/>
    </row>
    <row r="59" spans="1:7" x14ac:dyDescent="0.2">
      <c r="A59" s="59" t="s">
        <v>133</v>
      </c>
      <c r="B59" s="60" t="s">
        <v>134</v>
      </c>
      <c r="C59" s="61"/>
      <c r="D59" s="62">
        <v>1.5588784141431984</v>
      </c>
      <c r="E59" s="63" t="s">
        <v>135</v>
      </c>
      <c r="F59" s="21"/>
      <c r="G59" s="21"/>
    </row>
    <row r="60" spans="1:7" ht="22.5" x14ac:dyDescent="0.2">
      <c r="A60" s="59" t="s">
        <v>136</v>
      </c>
      <c r="B60" s="60" t="s">
        <v>137</v>
      </c>
      <c r="C60" s="61"/>
      <c r="D60" s="62">
        <v>1124.1245453099286</v>
      </c>
      <c r="E60" s="63" t="s">
        <v>138</v>
      </c>
      <c r="F60" s="21"/>
      <c r="G60" s="21"/>
    </row>
    <row r="61" spans="1:7" x14ac:dyDescent="0.2">
      <c r="A61" s="59" t="s">
        <v>139</v>
      </c>
      <c r="B61" s="60" t="s">
        <v>140</v>
      </c>
      <c r="C61" s="61"/>
      <c r="D61" s="62" t="s">
        <v>64</v>
      </c>
      <c r="E61" s="63" t="s">
        <v>41</v>
      </c>
      <c r="F61" s="21"/>
      <c r="G61" s="21"/>
    </row>
    <row r="62" spans="1:7" x14ac:dyDescent="0.2">
      <c r="A62" s="59" t="s">
        <v>141</v>
      </c>
      <c r="B62" s="60" t="s">
        <v>140</v>
      </c>
      <c r="C62" s="61" t="s">
        <v>142</v>
      </c>
      <c r="D62" s="62" t="s">
        <v>76</v>
      </c>
      <c r="E62" s="63" t="s">
        <v>41</v>
      </c>
      <c r="F62" s="21"/>
      <c r="G62" s="21"/>
    </row>
    <row r="63" spans="1:7" x14ac:dyDescent="0.2">
      <c r="A63" s="59" t="s">
        <v>143</v>
      </c>
      <c r="B63" s="60" t="s">
        <v>140</v>
      </c>
      <c r="C63" s="61" t="s">
        <v>144</v>
      </c>
      <c r="D63" s="62" t="s">
        <v>76</v>
      </c>
      <c r="E63" s="63" t="s">
        <v>41</v>
      </c>
      <c r="F63" s="21"/>
      <c r="G63" s="21"/>
    </row>
    <row r="64" spans="1:7" x14ac:dyDescent="0.2">
      <c r="A64" s="59" t="s">
        <v>145</v>
      </c>
      <c r="B64" s="60" t="s">
        <v>140</v>
      </c>
      <c r="C64" s="61" t="s">
        <v>146</v>
      </c>
      <c r="D64" s="62" t="s">
        <v>76</v>
      </c>
      <c r="E64" s="63" t="s">
        <v>41</v>
      </c>
      <c r="F64" s="21"/>
      <c r="G64" s="21"/>
    </row>
    <row r="65" spans="1:7" x14ac:dyDescent="0.2">
      <c r="A65" s="59" t="s">
        <v>147</v>
      </c>
      <c r="B65" s="60" t="s">
        <v>140</v>
      </c>
      <c r="C65" s="61" t="s">
        <v>148</v>
      </c>
      <c r="D65" s="62" t="s">
        <v>76</v>
      </c>
      <c r="E65" s="63" t="s">
        <v>41</v>
      </c>
      <c r="F65" s="21"/>
      <c r="G65" s="21"/>
    </row>
    <row r="66" spans="1:7" x14ac:dyDescent="0.2">
      <c r="A66" s="59" t="s">
        <v>149</v>
      </c>
      <c r="B66" s="60" t="s">
        <v>150</v>
      </c>
      <c r="C66" s="61"/>
      <c r="D66" s="62">
        <v>510.96570241360388</v>
      </c>
      <c r="E66" s="63" t="s">
        <v>47</v>
      </c>
      <c r="F66" s="21"/>
      <c r="G66" s="21"/>
    </row>
    <row r="67" spans="1:7" x14ac:dyDescent="0.2">
      <c r="A67" s="59" t="s">
        <v>151</v>
      </c>
      <c r="B67" s="60" t="s">
        <v>152</v>
      </c>
      <c r="C67" s="61"/>
      <c r="D67" s="64">
        <v>0.11919124186799999</v>
      </c>
      <c r="E67" s="63" t="s">
        <v>153</v>
      </c>
      <c r="F67" s="21"/>
      <c r="G67" s="21"/>
    </row>
    <row r="68" spans="1:7" x14ac:dyDescent="0.2">
      <c r="A68" s="59" t="s">
        <v>154</v>
      </c>
      <c r="B68" s="60" t="s">
        <v>155</v>
      </c>
      <c r="C68" s="61"/>
      <c r="D68" s="64">
        <v>0.11919124186799999</v>
      </c>
      <c r="E68" s="63" t="s">
        <v>153</v>
      </c>
      <c r="F68" s="21"/>
      <c r="G68" s="21"/>
    </row>
    <row r="69" spans="1:7" ht="22.5" x14ac:dyDescent="0.2">
      <c r="A69" s="59" t="s">
        <v>156</v>
      </c>
      <c r="B69" s="60" t="s">
        <v>157</v>
      </c>
      <c r="C69" s="61"/>
      <c r="D69" s="62">
        <v>664.25541313768508</v>
      </c>
      <c r="E69" s="63"/>
      <c r="F69" s="21"/>
      <c r="G69" s="21"/>
    </row>
    <row r="70" spans="1:7" ht="45" x14ac:dyDescent="0.2">
      <c r="A70" s="59" t="s">
        <v>158</v>
      </c>
      <c r="B70" s="60" t="s">
        <v>159</v>
      </c>
      <c r="C70" s="61"/>
      <c r="D70" s="62" t="s">
        <v>76</v>
      </c>
      <c r="E70" s="63" t="s">
        <v>47</v>
      </c>
      <c r="F70" s="21"/>
      <c r="G70" s="21"/>
    </row>
    <row r="71" spans="1:7" ht="22.5" x14ac:dyDescent="0.2">
      <c r="A71" s="59" t="s">
        <v>160</v>
      </c>
      <c r="B71" s="60" t="s">
        <v>161</v>
      </c>
      <c r="C71" s="61"/>
      <c r="D71" s="62">
        <v>2043.8628096544155</v>
      </c>
      <c r="E71" s="63"/>
      <c r="F71" s="21"/>
      <c r="G71" s="21"/>
    </row>
    <row r="72" spans="1:7" ht="22.5" x14ac:dyDescent="0.2">
      <c r="A72" s="59" t="s">
        <v>162</v>
      </c>
      <c r="B72" s="60" t="s">
        <v>163</v>
      </c>
      <c r="C72" s="61"/>
      <c r="D72" s="62" t="s">
        <v>64</v>
      </c>
      <c r="E72" s="63"/>
      <c r="F72" s="21"/>
      <c r="G72" s="21"/>
    </row>
    <row r="73" spans="1:7" ht="22.5" x14ac:dyDescent="0.2">
      <c r="A73" s="59" t="s">
        <v>164</v>
      </c>
      <c r="B73" s="60" t="s">
        <v>163</v>
      </c>
      <c r="C73" s="61" t="s">
        <v>66</v>
      </c>
      <c r="D73" s="62">
        <v>2.820028372056314</v>
      </c>
      <c r="E73" s="63"/>
      <c r="F73" s="21"/>
      <c r="G73" s="21"/>
    </row>
    <row r="74" spans="1:7" ht="22.5" x14ac:dyDescent="0.2">
      <c r="A74" s="59" t="s">
        <v>165</v>
      </c>
      <c r="B74" s="60" t="s">
        <v>163</v>
      </c>
      <c r="C74" s="61" t="s">
        <v>68</v>
      </c>
      <c r="D74" s="62">
        <v>3.3839872801151518</v>
      </c>
      <c r="E74" s="63"/>
      <c r="F74" s="21"/>
      <c r="G74" s="21"/>
    </row>
    <row r="75" spans="1:7" ht="22.5" x14ac:dyDescent="0.2">
      <c r="A75" s="59" t="s">
        <v>166</v>
      </c>
      <c r="B75" s="60" t="s">
        <v>163</v>
      </c>
      <c r="C75" s="61" t="s">
        <v>70</v>
      </c>
      <c r="D75" s="62">
        <v>5.1691758680315889</v>
      </c>
      <c r="E75" s="63"/>
      <c r="F75" s="21"/>
      <c r="G75" s="21"/>
    </row>
    <row r="76" spans="1:7" ht="22.5" x14ac:dyDescent="0.2">
      <c r="A76" s="59" t="s">
        <v>167</v>
      </c>
      <c r="B76" s="60" t="s">
        <v>163</v>
      </c>
      <c r="C76" s="61" t="s">
        <v>72</v>
      </c>
      <c r="D76" s="62">
        <v>7.1177738857105854</v>
      </c>
      <c r="E76" s="63"/>
      <c r="F76" s="21"/>
      <c r="G76" s="21"/>
    </row>
    <row r="77" spans="1:7" x14ac:dyDescent="0.2">
      <c r="A77" s="59" t="s">
        <v>168</v>
      </c>
      <c r="B77" s="60" t="s">
        <v>169</v>
      </c>
      <c r="C77" s="61"/>
      <c r="D77" s="62" t="s">
        <v>64</v>
      </c>
      <c r="E77" s="63" t="s">
        <v>82</v>
      </c>
      <c r="F77" s="21"/>
      <c r="G77" s="21"/>
    </row>
    <row r="78" spans="1:7" x14ac:dyDescent="0.2">
      <c r="A78" s="59" t="s">
        <v>170</v>
      </c>
      <c r="B78" s="60" t="s">
        <v>169</v>
      </c>
      <c r="C78" s="61" t="s">
        <v>66</v>
      </c>
      <c r="D78" s="62">
        <v>3.3754264394908167</v>
      </c>
      <c r="E78" s="63" t="s">
        <v>82</v>
      </c>
      <c r="F78" s="21"/>
      <c r="G78" s="21"/>
    </row>
    <row r="79" spans="1:7" x14ac:dyDescent="0.2">
      <c r="A79" s="59" t="s">
        <v>171</v>
      </c>
      <c r="B79" s="60" t="s">
        <v>169</v>
      </c>
      <c r="C79" s="61" t="s">
        <v>68</v>
      </c>
      <c r="D79" s="62">
        <v>4.5205698620847761</v>
      </c>
      <c r="E79" s="63" t="s">
        <v>82</v>
      </c>
      <c r="F79" s="21"/>
      <c r="G79" s="21"/>
    </row>
    <row r="80" spans="1:7" x14ac:dyDescent="0.2">
      <c r="A80" s="59" t="s">
        <v>172</v>
      </c>
      <c r="B80" s="60" t="s">
        <v>169</v>
      </c>
      <c r="C80" s="61" t="s">
        <v>70</v>
      </c>
      <c r="D80" s="62">
        <v>5.9557220450954462</v>
      </c>
      <c r="E80" s="63" t="s">
        <v>82</v>
      </c>
      <c r="F80" s="21"/>
      <c r="G80" s="21"/>
    </row>
    <row r="81" spans="1:7" x14ac:dyDescent="0.2">
      <c r="A81" s="59" t="s">
        <v>173</v>
      </c>
      <c r="B81" s="60" t="s">
        <v>169</v>
      </c>
      <c r="C81" s="61" t="s">
        <v>72</v>
      </c>
      <c r="D81" s="62">
        <v>7.9043200627744437</v>
      </c>
      <c r="E81" s="63" t="s">
        <v>82</v>
      </c>
      <c r="F81" s="21"/>
      <c r="G81" s="21"/>
    </row>
    <row r="82" spans="1:7" ht="45" x14ac:dyDescent="0.2">
      <c r="A82" s="59" t="s">
        <v>174</v>
      </c>
      <c r="B82" s="60" t="s">
        <v>175</v>
      </c>
      <c r="C82" s="61"/>
      <c r="D82" s="62">
        <v>2043.8628096544155</v>
      </c>
      <c r="E82" s="63" t="s">
        <v>176</v>
      </c>
      <c r="F82" s="21"/>
      <c r="G82" s="21"/>
    </row>
    <row r="83" spans="1:7" ht="45" x14ac:dyDescent="0.2">
      <c r="A83" s="59" t="s">
        <v>177</v>
      </c>
      <c r="B83" s="60" t="s">
        <v>175</v>
      </c>
      <c r="C83" s="61"/>
      <c r="D83" s="62">
        <v>2043.8628096544155</v>
      </c>
      <c r="E83" s="63" t="s">
        <v>176</v>
      </c>
      <c r="F83" s="21"/>
      <c r="G83" s="21"/>
    </row>
    <row r="84" spans="1:7" x14ac:dyDescent="0.2">
      <c r="A84" s="59" t="s">
        <v>178</v>
      </c>
      <c r="B84" s="60" t="s">
        <v>179</v>
      </c>
      <c r="C84" s="61"/>
      <c r="D84" s="62">
        <v>8.1754512386176614</v>
      </c>
      <c r="E84" s="63" t="s">
        <v>101</v>
      </c>
      <c r="F84" s="21"/>
      <c r="G84" s="21"/>
    </row>
    <row r="85" spans="1:7" ht="22.5" x14ac:dyDescent="0.2">
      <c r="A85" s="59" t="s">
        <v>180</v>
      </c>
      <c r="B85" s="60" t="s">
        <v>181</v>
      </c>
      <c r="C85" s="61"/>
      <c r="D85" s="62">
        <v>58.761055777564444</v>
      </c>
      <c r="E85" s="63" t="s">
        <v>101</v>
      </c>
      <c r="F85" s="21"/>
      <c r="G85" s="21"/>
    </row>
    <row r="86" spans="1:7" ht="22.5" x14ac:dyDescent="0.2">
      <c r="A86" s="59" t="s">
        <v>182</v>
      </c>
      <c r="B86" s="60" t="s">
        <v>183</v>
      </c>
      <c r="C86" s="61"/>
      <c r="D86" s="62" t="s">
        <v>44</v>
      </c>
      <c r="E86" s="63" t="s">
        <v>138</v>
      </c>
      <c r="F86" s="21"/>
      <c r="G86" s="21"/>
    </row>
    <row r="87" spans="1:7" ht="22.5" x14ac:dyDescent="0.2">
      <c r="A87" s="59" t="s">
        <v>184</v>
      </c>
      <c r="B87" s="60" t="s">
        <v>183</v>
      </c>
      <c r="C87" s="61" t="s">
        <v>185</v>
      </c>
      <c r="D87" s="62" t="s">
        <v>44</v>
      </c>
      <c r="E87" s="63" t="s">
        <v>138</v>
      </c>
      <c r="F87" s="21"/>
      <c r="G87" s="21"/>
    </row>
    <row r="88" spans="1:7" ht="22.5" x14ac:dyDescent="0.2">
      <c r="A88" s="59" t="s">
        <v>186</v>
      </c>
      <c r="B88" s="60" t="s">
        <v>183</v>
      </c>
      <c r="C88" s="61" t="s">
        <v>187</v>
      </c>
      <c r="D88" s="62" t="s">
        <v>44</v>
      </c>
      <c r="E88" s="63" t="s">
        <v>138</v>
      </c>
      <c r="F88" s="21"/>
      <c r="G88" s="21"/>
    </row>
    <row r="89" spans="1:7" ht="22.5" x14ac:dyDescent="0.2">
      <c r="A89" s="59" t="s">
        <v>188</v>
      </c>
      <c r="B89" s="60" t="s">
        <v>183</v>
      </c>
      <c r="C89" s="61" t="s">
        <v>189</v>
      </c>
      <c r="D89" s="62" t="s">
        <v>44</v>
      </c>
      <c r="E89" s="63" t="s">
        <v>138</v>
      </c>
      <c r="F89" s="21"/>
      <c r="G89" s="21"/>
    </row>
    <row r="90" spans="1:7" ht="22.5" x14ac:dyDescent="0.2">
      <c r="A90" s="59" t="s">
        <v>190</v>
      </c>
      <c r="B90" s="60" t="s">
        <v>183</v>
      </c>
      <c r="C90" s="61" t="s">
        <v>191</v>
      </c>
      <c r="D90" s="62" t="s">
        <v>44</v>
      </c>
      <c r="E90" s="63" t="s">
        <v>138</v>
      </c>
      <c r="F90" s="21"/>
      <c r="G90" s="21"/>
    </row>
    <row r="91" spans="1:7" ht="22.5" x14ac:dyDescent="0.2">
      <c r="A91" s="59" t="s">
        <v>192</v>
      </c>
      <c r="B91" s="60" t="s">
        <v>183</v>
      </c>
      <c r="C91" s="61"/>
      <c r="D91" s="62" t="s">
        <v>44</v>
      </c>
      <c r="E91" s="63" t="s">
        <v>138</v>
      </c>
      <c r="F91" s="21"/>
      <c r="G91" s="21"/>
    </row>
    <row r="92" spans="1:7" x14ac:dyDescent="0.2">
      <c r="A92" s="59" t="s">
        <v>193</v>
      </c>
      <c r="B92" s="60" t="s">
        <v>194</v>
      </c>
      <c r="C92" s="61"/>
      <c r="D92" s="62">
        <v>649.53267255966591</v>
      </c>
      <c r="E92" s="63" t="s">
        <v>135</v>
      </c>
      <c r="F92" s="21"/>
      <c r="G92" s="21"/>
    </row>
    <row r="93" spans="1:7" ht="22.5" x14ac:dyDescent="0.2">
      <c r="A93" s="59" t="s">
        <v>195</v>
      </c>
      <c r="B93" s="60" t="s">
        <v>196</v>
      </c>
      <c r="C93" s="61"/>
      <c r="D93" s="62">
        <v>163.50902477235323</v>
      </c>
      <c r="E93" s="63" t="s">
        <v>41</v>
      </c>
      <c r="F93" s="21"/>
      <c r="G93" s="21"/>
    </row>
    <row r="94" spans="1:7" ht="33.75" x14ac:dyDescent="0.2">
      <c r="A94" s="59" t="s">
        <v>197</v>
      </c>
      <c r="B94" s="60" t="s">
        <v>198</v>
      </c>
      <c r="C94" s="61"/>
      <c r="D94" s="62">
        <v>181.86914831670646</v>
      </c>
      <c r="E94" s="63" t="s">
        <v>101</v>
      </c>
      <c r="F94" s="21"/>
      <c r="G94" s="21"/>
    </row>
    <row r="95" spans="1:7" ht="22.5" x14ac:dyDescent="0.2">
      <c r="A95" s="59" t="s">
        <v>199</v>
      </c>
      <c r="B95" s="60" t="s">
        <v>200</v>
      </c>
      <c r="C95" s="61"/>
      <c r="D95" s="62">
        <v>163.50902477235323</v>
      </c>
      <c r="E95" s="63" t="s">
        <v>135</v>
      </c>
      <c r="F95" s="21"/>
      <c r="G95" s="21"/>
    </row>
    <row r="96" spans="1:7" ht="33.75" x14ac:dyDescent="0.2">
      <c r="A96" s="59" t="s">
        <v>201</v>
      </c>
      <c r="B96" s="60" t="s">
        <v>202</v>
      </c>
      <c r="C96" s="61"/>
      <c r="D96" s="62">
        <v>255.48285120680194</v>
      </c>
      <c r="E96" s="63" t="s">
        <v>101</v>
      </c>
      <c r="F96" s="21"/>
      <c r="G96" s="21"/>
    </row>
    <row r="97" spans="1:7" ht="33.75" x14ac:dyDescent="0.2">
      <c r="A97" s="59" t="s">
        <v>203</v>
      </c>
      <c r="B97" s="60" t="s">
        <v>204</v>
      </c>
      <c r="C97" s="61"/>
      <c r="D97" s="62">
        <v>320.43611846276855</v>
      </c>
      <c r="E97" s="63" t="s">
        <v>101</v>
      </c>
      <c r="F97" s="21"/>
      <c r="G97" s="21"/>
    </row>
    <row r="98" spans="1:7" x14ac:dyDescent="0.2">
      <c r="A98" s="59" t="s">
        <v>205</v>
      </c>
      <c r="B98" s="60" t="s">
        <v>206</v>
      </c>
      <c r="C98" s="61"/>
      <c r="D98" s="62">
        <v>71.535198337904546</v>
      </c>
      <c r="E98" s="63" t="s">
        <v>135</v>
      </c>
      <c r="F98" s="21"/>
      <c r="G98" s="21"/>
    </row>
    <row r="99" spans="1:7" ht="22.5" x14ac:dyDescent="0.2">
      <c r="A99" s="59" t="s">
        <v>207</v>
      </c>
      <c r="B99" s="60" t="s">
        <v>208</v>
      </c>
      <c r="C99" s="61"/>
      <c r="D99" s="62" t="s">
        <v>64</v>
      </c>
      <c r="E99" s="63" t="s">
        <v>41</v>
      </c>
      <c r="F99" s="21"/>
      <c r="G99" s="21"/>
    </row>
    <row r="100" spans="1:7" ht="22.5" x14ac:dyDescent="0.2">
      <c r="A100" s="59" t="s">
        <v>209</v>
      </c>
      <c r="B100" s="60" t="s">
        <v>208</v>
      </c>
      <c r="C100" s="61" t="s">
        <v>210</v>
      </c>
      <c r="D100" s="62">
        <v>10219.314048272076</v>
      </c>
      <c r="E100" s="63" t="s">
        <v>41</v>
      </c>
      <c r="F100" s="21"/>
      <c r="G100" s="21"/>
    </row>
    <row r="101" spans="1:7" ht="22.5" x14ac:dyDescent="0.2">
      <c r="A101" s="59" t="s">
        <v>211</v>
      </c>
      <c r="B101" s="60" t="s">
        <v>208</v>
      </c>
      <c r="C101" s="61" t="s">
        <v>212</v>
      </c>
      <c r="D101" s="62">
        <v>35767.599168952271</v>
      </c>
      <c r="E101" s="63" t="s">
        <v>41</v>
      </c>
      <c r="F101" s="21"/>
      <c r="G101" s="21"/>
    </row>
    <row r="102" spans="1:7" ht="22.5" x14ac:dyDescent="0.2">
      <c r="A102" s="59" t="s">
        <v>213</v>
      </c>
      <c r="B102" s="60" t="s">
        <v>208</v>
      </c>
      <c r="C102" s="61" t="s">
        <v>214</v>
      </c>
      <c r="D102" s="62">
        <v>76644.855362040573</v>
      </c>
      <c r="E102" s="63" t="s">
        <v>41</v>
      </c>
      <c r="F102" s="21"/>
      <c r="G102" s="21"/>
    </row>
    <row r="103" spans="1:7" x14ac:dyDescent="0.2">
      <c r="A103" s="59" t="s">
        <v>215</v>
      </c>
      <c r="B103" s="60" t="s">
        <v>216</v>
      </c>
      <c r="C103" s="61"/>
      <c r="D103" s="62">
        <v>255.48285120680194</v>
      </c>
      <c r="E103" s="63" t="s">
        <v>41</v>
      </c>
      <c r="F103" s="21"/>
      <c r="G103" s="21"/>
    </row>
    <row r="104" spans="1:7" x14ac:dyDescent="0.2">
      <c r="A104" s="59" t="s">
        <v>217</v>
      </c>
      <c r="B104" s="60" t="s">
        <v>218</v>
      </c>
      <c r="C104" s="61"/>
      <c r="D104" s="62">
        <v>1655.5288758200766</v>
      </c>
      <c r="E104" s="63" t="s">
        <v>138</v>
      </c>
      <c r="F104" s="21"/>
      <c r="G104" s="21"/>
    </row>
    <row r="105" spans="1:7" x14ac:dyDescent="0.2">
      <c r="A105" s="59" t="s">
        <v>219</v>
      </c>
      <c r="B105" s="60" t="s">
        <v>220</v>
      </c>
      <c r="C105" s="61"/>
      <c r="D105" s="62">
        <v>2370.8808591991219</v>
      </c>
      <c r="E105" s="63" t="s">
        <v>138</v>
      </c>
      <c r="F105" s="21"/>
      <c r="G105" s="21"/>
    </row>
    <row r="106" spans="1:7" ht="33.75" x14ac:dyDescent="0.2">
      <c r="A106" s="59" t="s">
        <v>221</v>
      </c>
      <c r="B106" s="60" t="s">
        <v>222</v>
      </c>
      <c r="C106" s="61"/>
      <c r="D106" s="62">
        <v>3.8322427681020286</v>
      </c>
      <c r="E106" s="63" t="s">
        <v>38</v>
      </c>
      <c r="F106" s="21"/>
      <c r="G106" s="21"/>
    </row>
    <row r="107" spans="1:7" x14ac:dyDescent="0.2">
      <c r="A107" s="59" t="s">
        <v>223</v>
      </c>
      <c r="B107" s="60" t="s">
        <v>224</v>
      </c>
      <c r="C107" s="61"/>
      <c r="D107" s="62">
        <v>630</v>
      </c>
      <c r="E107" s="63" t="s">
        <v>35</v>
      </c>
      <c r="F107" s="21"/>
      <c r="G107" s="21"/>
    </row>
    <row r="108" spans="1:7" x14ac:dyDescent="0.2">
      <c r="A108" s="59" t="s">
        <v>225</v>
      </c>
      <c r="B108" s="60" t="s">
        <v>226</v>
      </c>
      <c r="C108" s="61"/>
      <c r="D108" s="62">
        <v>5109.6570241360378</v>
      </c>
      <c r="E108" s="63" t="s">
        <v>35</v>
      </c>
      <c r="F108" s="21"/>
      <c r="G108" s="21"/>
    </row>
    <row r="109" spans="1:7" ht="22.5" x14ac:dyDescent="0.2">
      <c r="A109" s="59" t="s">
        <v>227</v>
      </c>
      <c r="B109" s="60" t="s">
        <v>228</v>
      </c>
      <c r="C109" s="61"/>
      <c r="D109" s="62">
        <v>35767.599168952271</v>
      </c>
      <c r="E109" s="63" t="s">
        <v>138</v>
      </c>
      <c r="F109" s="21"/>
      <c r="G109" s="21"/>
    </row>
    <row r="110" spans="1:7" x14ac:dyDescent="0.2">
      <c r="A110" s="59" t="s">
        <v>229</v>
      </c>
      <c r="B110" s="60" t="s">
        <v>230</v>
      </c>
      <c r="C110" s="61"/>
      <c r="D110" s="62">
        <v>0.71535198337904538</v>
      </c>
      <c r="E110" s="63"/>
      <c r="F110" s="21"/>
      <c r="G110" s="21"/>
    </row>
    <row r="111" spans="1:7" ht="22.5" x14ac:dyDescent="0.2">
      <c r="A111" s="59" t="s">
        <v>231</v>
      </c>
      <c r="B111" s="60" t="s">
        <v>232</v>
      </c>
      <c r="C111" s="61"/>
      <c r="D111" s="62">
        <v>1.2774142560340096</v>
      </c>
      <c r="E111" s="63" t="s">
        <v>82</v>
      </c>
      <c r="F111" s="21"/>
      <c r="G111" s="21"/>
    </row>
    <row r="112" spans="1:7" ht="22.5" x14ac:dyDescent="0.2">
      <c r="A112" s="59" t="s">
        <v>233</v>
      </c>
      <c r="B112" s="60" t="s">
        <v>234</v>
      </c>
      <c r="C112" s="61"/>
      <c r="D112" s="62">
        <v>51.096570241360382</v>
      </c>
      <c r="E112" s="63" t="s">
        <v>101</v>
      </c>
      <c r="F112" s="21"/>
      <c r="G112" s="21"/>
    </row>
    <row r="113" spans="1:7" ht="22.5" x14ac:dyDescent="0.2">
      <c r="A113" s="59" t="s">
        <v>235</v>
      </c>
      <c r="B113" s="60" t="s">
        <v>236</v>
      </c>
      <c r="C113" s="61"/>
      <c r="D113" s="62">
        <v>51.096570241360382</v>
      </c>
      <c r="E113" s="63" t="s">
        <v>101</v>
      </c>
      <c r="F113" s="21"/>
      <c r="G113" s="21"/>
    </row>
    <row r="114" spans="1:7" ht="22.5" x14ac:dyDescent="0.2">
      <c r="A114" s="59" t="s">
        <v>237</v>
      </c>
      <c r="B114" s="60" t="s">
        <v>238</v>
      </c>
      <c r="C114" s="61"/>
      <c r="D114" s="62">
        <v>51.096570241360382</v>
      </c>
      <c r="E114" s="63" t="s">
        <v>101</v>
      </c>
      <c r="F114" s="21"/>
      <c r="G114" s="21"/>
    </row>
    <row r="115" spans="1:7" x14ac:dyDescent="0.2">
      <c r="A115" s="59" t="s">
        <v>239</v>
      </c>
      <c r="B115" s="60" t="s">
        <v>240</v>
      </c>
      <c r="C115" s="61"/>
      <c r="D115" s="62">
        <v>255.48285120680194</v>
      </c>
      <c r="E115" s="63" t="s">
        <v>41</v>
      </c>
      <c r="F115" s="21"/>
      <c r="G115" s="21"/>
    </row>
    <row r="116" spans="1:7" x14ac:dyDescent="0.2">
      <c r="A116" s="59" t="s">
        <v>241</v>
      </c>
      <c r="B116" s="60" t="s">
        <v>242</v>
      </c>
      <c r="C116" s="61"/>
      <c r="D116" s="62">
        <v>786.88718171694984</v>
      </c>
      <c r="E116" s="63" t="s">
        <v>138</v>
      </c>
      <c r="F116" s="21"/>
      <c r="G116" s="21"/>
    </row>
    <row r="117" spans="1:7" ht="22.5" x14ac:dyDescent="0.2">
      <c r="A117" s="59" t="s">
        <v>243</v>
      </c>
      <c r="B117" s="60" t="s">
        <v>244</v>
      </c>
      <c r="C117" s="61"/>
      <c r="D117" s="62">
        <v>12990.653451193317</v>
      </c>
      <c r="E117" s="63" t="s">
        <v>35</v>
      </c>
      <c r="F117" s="21"/>
      <c r="G117" s="21"/>
    </row>
    <row r="118" spans="1:7" ht="22.5" x14ac:dyDescent="0.2">
      <c r="A118" s="59" t="s">
        <v>245</v>
      </c>
      <c r="B118" s="60" t="s">
        <v>246</v>
      </c>
      <c r="C118" s="61"/>
      <c r="D118" s="62">
        <v>1483.7171999999998</v>
      </c>
      <c r="E118" s="63" t="s">
        <v>41</v>
      </c>
      <c r="F118" s="21"/>
      <c r="G118" s="21"/>
    </row>
    <row r="119" spans="1:7" ht="22.5" x14ac:dyDescent="0.2">
      <c r="A119" s="59" t="s">
        <v>247</v>
      </c>
      <c r="B119" s="60" t="s">
        <v>248</v>
      </c>
      <c r="C119" s="61"/>
      <c r="D119" s="62" t="s">
        <v>64</v>
      </c>
      <c r="E119" s="63" t="s">
        <v>82</v>
      </c>
      <c r="F119" s="21"/>
      <c r="G119" s="21"/>
    </row>
    <row r="120" spans="1:7" ht="22.5" x14ac:dyDescent="0.2">
      <c r="A120" s="59" t="s">
        <v>249</v>
      </c>
      <c r="B120" s="60" t="s">
        <v>248</v>
      </c>
      <c r="C120" s="61" t="s">
        <v>66</v>
      </c>
      <c r="D120" s="62">
        <v>3.8322427681020286</v>
      </c>
      <c r="E120" s="63" t="s">
        <v>82</v>
      </c>
      <c r="F120" s="21"/>
      <c r="G120" s="21"/>
    </row>
    <row r="121" spans="1:7" ht="22.5" x14ac:dyDescent="0.2">
      <c r="A121" s="59" t="s">
        <v>250</v>
      </c>
      <c r="B121" s="60" t="s">
        <v>248</v>
      </c>
      <c r="C121" s="61" t="s">
        <v>68</v>
      </c>
      <c r="D121" s="62">
        <v>5.0381218257981333</v>
      </c>
      <c r="E121" s="63" t="s">
        <v>82</v>
      </c>
      <c r="F121" s="21"/>
      <c r="G121" s="21"/>
    </row>
    <row r="122" spans="1:7" ht="22.5" x14ac:dyDescent="0.2">
      <c r="A122" s="59" t="s">
        <v>251</v>
      </c>
      <c r="B122" s="60" t="s">
        <v>248</v>
      </c>
      <c r="C122" s="61" t="s">
        <v>70</v>
      </c>
      <c r="D122" s="62">
        <v>5.7125965529840901</v>
      </c>
      <c r="E122" s="63" t="s">
        <v>82</v>
      </c>
      <c r="F122" s="21"/>
      <c r="G122" s="21"/>
    </row>
    <row r="123" spans="1:7" ht="22.5" x14ac:dyDescent="0.2">
      <c r="A123" s="59" t="s">
        <v>252</v>
      </c>
      <c r="B123" s="60" t="s">
        <v>248</v>
      </c>
      <c r="C123" s="61" t="s">
        <v>72</v>
      </c>
      <c r="D123" s="62">
        <v>6.8367210982940199</v>
      </c>
      <c r="E123" s="63" t="s">
        <v>82</v>
      </c>
      <c r="F123" s="21"/>
      <c r="G123" s="21"/>
    </row>
    <row r="124" spans="1:7" ht="22.5" x14ac:dyDescent="0.2">
      <c r="A124" s="59" t="s">
        <v>253</v>
      </c>
      <c r="B124" s="60" t="s">
        <v>254</v>
      </c>
      <c r="C124" s="61"/>
      <c r="D124" s="62">
        <v>689.80369825836533</v>
      </c>
      <c r="E124" s="63" t="s">
        <v>82</v>
      </c>
      <c r="F124" s="21"/>
      <c r="G124" s="21"/>
    </row>
    <row r="125" spans="1:7" ht="45" x14ac:dyDescent="0.2">
      <c r="A125" s="59" t="s">
        <v>255</v>
      </c>
      <c r="B125" s="60" t="s">
        <v>256</v>
      </c>
      <c r="C125" s="61"/>
      <c r="D125" s="62">
        <v>689.80369825836533</v>
      </c>
      <c r="E125" s="63" t="s">
        <v>82</v>
      </c>
      <c r="F125" s="21"/>
      <c r="G125" s="21"/>
    </row>
    <row r="126" spans="1:7" ht="22.5" x14ac:dyDescent="0.2">
      <c r="A126" s="59" t="s">
        <v>257</v>
      </c>
      <c r="B126" s="60" t="s">
        <v>258</v>
      </c>
      <c r="C126" s="61"/>
      <c r="D126" s="62">
        <v>1299.0653451193318</v>
      </c>
      <c r="E126" s="63" t="s">
        <v>101</v>
      </c>
      <c r="F126" s="21"/>
      <c r="G126" s="21"/>
    </row>
    <row r="127" spans="1:7" ht="22.5" x14ac:dyDescent="0.2">
      <c r="A127" s="59" t="s">
        <v>259</v>
      </c>
      <c r="B127" s="60" t="s">
        <v>260</v>
      </c>
      <c r="C127" s="61"/>
      <c r="D127" s="62" t="s">
        <v>64</v>
      </c>
      <c r="E127" s="63" t="s">
        <v>38</v>
      </c>
      <c r="F127" s="21"/>
      <c r="G127" s="21"/>
    </row>
    <row r="128" spans="1:7" ht="22.5" x14ac:dyDescent="0.2">
      <c r="A128" s="59" t="s">
        <v>261</v>
      </c>
      <c r="B128" s="60" t="s">
        <v>260</v>
      </c>
      <c r="C128" s="61" t="s">
        <v>185</v>
      </c>
      <c r="D128" s="62">
        <v>0.51096570241360384</v>
      </c>
      <c r="E128" s="63" t="s">
        <v>38</v>
      </c>
      <c r="F128" s="21"/>
      <c r="G128" s="21"/>
    </row>
    <row r="129" spans="1:7" ht="22.5" x14ac:dyDescent="0.2">
      <c r="A129" s="59" t="s">
        <v>262</v>
      </c>
      <c r="B129" s="60" t="s">
        <v>260</v>
      </c>
      <c r="C129" s="61" t="s">
        <v>187</v>
      </c>
      <c r="D129" s="62">
        <v>0.75622923957213373</v>
      </c>
      <c r="E129" s="63" t="s">
        <v>38</v>
      </c>
      <c r="F129" s="21"/>
      <c r="G129" s="21"/>
    </row>
    <row r="130" spans="1:7" ht="22.5" x14ac:dyDescent="0.2">
      <c r="A130" s="59" t="s">
        <v>263</v>
      </c>
      <c r="B130" s="60" t="s">
        <v>260</v>
      </c>
      <c r="C130" s="61" t="s">
        <v>189</v>
      </c>
      <c r="D130" s="62">
        <v>1.0219314048272077</v>
      </c>
      <c r="E130" s="63" t="s">
        <v>38</v>
      </c>
      <c r="F130" s="21"/>
      <c r="G130" s="21"/>
    </row>
    <row r="131" spans="1:7" ht="22.5" x14ac:dyDescent="0.2">
      <c r="A131" s="59" t="s">
        <v>264</v>
      </c>
      <c r="B131" s="60" t="s">
        <v>260</v>
      </c>
      <c r="C131" s="61" t="s">
        <v>191</v>
      </c>
      <c r="D131" s="62">
        <v>1.2978528841305537</v>
      </c>
      <c r="E131" s="63" t="s">
        <v>38</v>
      </c>
      <c r="F131" s="21"/>
      <c r="G131" s="21"/>
    </row>
    <row r="132" spans="1:7" ht="22.5" x14ac:dyDescent="0.2">
      <c r="A132" s="59" t="s">
        <v>265</v>
      </c>
      <c r="B132" s="60" t="s">
        <v>266</v>
      </c>
      <c r="C132" s="61"/>
      <c r="D132" s="62" t="s">
        <v>64</v>
      </c>
      <c r="E132" s="63" t="s">
        <v>82</v>
      </c>
      <c r="F132" s="21"/>
      <c r="G132" s="21"/>
    </row>
    <row r="133" spans="1:7" ht="22.5" x14ac:dyDescent="0.2">
      <c r="A133" s="59" t="s">
        <v>267</v>
      </c>
      <c r="B133" s="60" t="s">
        <v>266</v>
      </c>
      <c r="C133" s="61" t="s">
        <v>185</v>
      </c>
      <c r="D133" s="62">
        <v>0.64087223692553696</v>
      </c>
      <c r="E133" s="63" t="s">
        <v>82</v>
      </c>
      <c r="F133" s="21"/>
      <c r="G133" s="21"/>
    </row>
    <row r="134" spans="1:7" ht="22.5" x14ac:dyDescent="0.2">
      <c r="A134" s="59" t="s">
        <v>268</v>
      </c>
      <c r="B134" s="60" t="s">
        <v>266</v>
      </c>
      <c r="C134" s="61" t="s">
        <v>187</v>
      </c>
      <c r="D134" s="62">
        <v>0.98728966229069215</v>
      </c>
      <c r="E134" s="63" t="s">
        <v>82</v>
      </c>
      <c r="F134" s="21"/>
      <c r="G134" s="21"/>
    </row>
    <row r="135" spans="1:7" ht="22.5" x14ac:dyDescent="0.2">
      <c r="A135" s="59" t="s">
        <v>269</v>
      </c>
      <c r="B135" s="60" t="s">
        <v>266</v>
      </c>
      <c r="C135" s="61" t="s">
        <v>189</v>
      </c>
      <c r="D135" s="62">
        <v>1.3596883945582341</v>
      </c>
      <c r="E135" s="63" t="s">
        <v>82</v>
      </c>
      <c r="F135" s="21"/>
      <c r="G135" s="21"/>
    </row>
    <row r="136" spans="1:7" ht="22.5" x14ac:dyDescent="0.2">
      <c r="A136" s="59" t="s">
        <v>270</v>
      </c>
      <c r="B136" s="60" t="s">
        <v>266</v>
      </c>
      <c r="C136" s="61" t="s">
        <v>191</v>
      </c>
      <c r="D136" s="62">
        <v>1.9919001958496423</v>
      </c>
      <c r="E136" s="63" t="s">
        <v>82</v>
      </c>
      <c r="F136" s="21"/>
      <c r="G136" s="21"/>
    </row>
    <row r="137" spans="1:7" x14ac:dyDescent="0.2">
      <c r="A137" s="59" t="s">
        <v>271</v>
      </c>
      <c r="B137" s="60" t="s">
        <v>272</v>
      </c>
      <c r="C137" s="61"/>
      <c r="D137" s="62">
        <v>1124.1245453099286</v>
      </c>
      <c r="E137" s="63" t="s">
        <v>47</v>
      </c>
      <c r="F137" s="21"/>
      <c r="G137" s="21"/>
    </row>
    <row r="138" spans="1:7" ht="22.5" x14ac:dyDescent="0.2">
      <c r="A138" s="59" t="s">
        <v>273</v>
      </c>
      <c r="B138" s="60" t="s">
        <v>274</v>
      </c>
      <c r="C138" s="61"/>
      <c r="D138" s="62">
        <v>1328.5108262753702</v>
      </c>
      <c r="E138" s="63" t="s">
        <v>47</v>
      </c>
      <c r="F138" s="21"/>
      <c r="G138" s="21"/>
    </row>
    <row r="139" spans="1:7" ht="22.5" x14ac:dyDescent="0.2">
      <c r="A139" s="59" t="s">
        <v>275</v>
      </c>
      <c r="B139" s="60" t="s">
        <v>276</v>
      </c>
      <c r="C139" s="61"/>
      <c r="D139" s="62">
        <v>1328.5108262753702</v>
      </c>
      <c r="E139" s="63" t="s">
        <v>47</v>
      </c>
      <c r="F139" s="21"/>
      <c r="G139" s="21"/>
    </row>
    <row r="140" spans="1:7" x14ac:dyDescent="0.2">
      <c r="A140" s="59" t="s">
        <v>277</v>
      </c>
      <c r="B140" s="60" t="s">
        <v>140</v>
      </c>
      <c r="C140" s="61"/>
      <c r="D140" s="62" t="s">
        <v>64</v>
      </c>
      <c r="E140" s="63" t="s">
        <v>35</v>
      </c>
      <c r="F140" s="21"/>
      <c r="G140" s="21"/>
    </row>
    <row r="141" spans="1:7" x14ac:dyDescent="0.2">
      <c r="A141" s="59" t="s">
        <v>278</v>
      </c>
      <c r="B141" s="60" t="s">
        <v>140</v>
      </c>
      <c r="C141" s="61" t="s">
        <v>142</v>
      </c>
      <c r="D141" s="62">
        <v>4.9488203623593595E-2</v>
      </c>
      <c r="E141" s="63" t="s">
        <v>35</v>
      </c>
      <c r="F141" s="21"/>
      <c r="G141" s="21"/>
    </row>
    <row r="142" spans="1:7" x14ac:dyDescent="0.2">
      <c r="A142" s="59" t="s">
        <v>279</v>
      </c>
      <c r="B142" s="60" t="s">
        <v>140</v>
      </c>
      <c r="C142" s="61" t="s">
        <v>144</v>
      </c>
      <c r="D142" s="62">
        <v>6.1860254529492002E-2</v>
      </c>
      <c r="E142" s="63" t="s">
        <v>35</v>
      </c>
      <c r="F142" s="21"/>
      <c r="G142" s="21"/>
    </row>
    <row r="143" spans="1:7" x14ac:dyDescent="0.2">
      <c r="A143" s="59" t="s">
        <v>280</v>
      </c>
      <c r="B143" s="60" t="s">
        <v>140</v>
      </c>
      <c r="C143" s="61" t="s">
        <v>146</v>
      </c>
      <c r="D143" s="62">
        <v>7.4232305435390403E-2</v>
      </c>
      <c r="E143" s="63" t="s">
        <v>35</v>
      </c>
      <c r="F143" s="21"/>
      <c r="G143" s="21"/>
    </row>
    <row r="144" spans="1:7" x14ac:dyDescent="0.2">
      <c r="A144" s="59" t="s">
        <v>281</v>
      </c>
      <c r="B144" s="60" t="s">
        <v>140</v>
      </c>
      <c r="C144" s="61" t="s">
        <v>148</v>
      </c>
      <c r="D144" s="62">
        <v>8.6604356341288796E-2</v>
      </c>
      <c r="E144" s="63" t="s">
        <v>35</v>
      </c>
      <c r="F144" s="21"/>
      <c r="G144" s="21"/>
    </row>
    <row r="145" spans="1:7" x14ac:dyDescent="0.2">
      <c r="A145" s="59" t="s">
        <v>282</v>
      </c>
      <c r="B145" s="60" t="s">
        <v>140</v>
      </c>
      <c r="C145" s="61"/>
      <c r="D145" s="62">
        <v>0</v>
      </c>
      <c r="E145" s="63" t="s">
        <v>35</v>
      </c>
      <c r="F145" s="21"/>
      <c r="G145" s="21"/>
    </row>
    <row r="146" spans="1:7" x14ac:dyDescent="0.2">
      <c r="A146" s="59" t="s">
        <v>283</v>
      </c>
      <c r="B146" s="60" t="s">
        <v>140</v>
      </c>
      <c r="C146" s="61" t="s">
        <v>142</v>
      </c>
      <c r="D146" s="62">
        <v>9.897640724718719E-2</v>
      </c>
      <c r="E146" s="63" t="s">
        <v>35</v>
      </c>
      <c r="F146" s="21"/>
      <c r="G146" s="21"/>
    </row>
    <row r="147" spans="1:7" x14ac:dyDescent="0.2">
      <c r="A147" s="59" t="s">
        <v>284</v>
      </c>
      <c r="B147" s="60" t="s">
        <v>140</v>
      </c>
      <c r="C147" s="61" t="s">
        <v>144</v>
      </c>
      <c r="D147" s="62">
        <v>0.123720509058984</v>
      </c>
      <c r="E147" s="63" t="s">
        <v>35</v>
      </c>
      <c r="F147" s="21"/>
      <c r="G147" s="21"/>
    </row>
    <row r="148" spans="1:7" x14ac:dyDescent="0.2">
      <c r="A148" s="59" t="s">
        <v>285</v>
      </c>
      <c r="B148" s="60" t="s">
        <v>140</v>
      </c>
      <c r="C148" s="61" t="s">
        <v>146</v>
      </c>
      <c r="D148" s="62">
        <v>0.14846461087078081</v>
      </c>
      <c r="E148" s="63" t="s">
        <v>35</v>
      </c>
      <c r="F148" s="21"/>
      <c r="G148" s="21"/>
    </row>
    <row r="149" spans="1:7" x14ac:dyDescent="0.2">
      <c r="A149" s="59" t="s">
        <v>286</v>
      </c>
      <c r="B149" s="60" t="s">
        <v>140</v>
      </c>
      <c r="C149" s="61" t="s">
        <v>148</v>
      </c>
      <c r="D149" s="62">
        <v>0.17320871268257759</v>
      </c>
      <c r="E149" s="63" t="s">
        <v>35</v>
      </c>
      <c r="F149" s="21"/>
      <c r="G149" s="21"/>
    </row>
    <row r="150" spans="1:7" x14ac:dyDescent="0.2">
      <c r="A150" s="59" t="s">
        <v>287</v>
      </c>
      <c r="B150" s="60" t="s">
        <v>140</v>
      </c>
      <c r="C150" s="61"/>
      <c r="D150" s="62">
        <v>0</v>
      </c>
      <c r="E150" s="63" t="s">
        <v>35</v>
      </c>
      <c r="F150" s="21"/>
      <c r="G150" s="21"/>
    </row>
    <row r="151" spans="1:7" x14ac:dyDescent="0.2">
      <c r="A151" s="59" t="s">
        <v>288</v>
      </c>
      <c r="B151" s="60" t="s">
        <v>140</v>
      </c>
      <c r="C151" s="61" t="s">
        <v>142</v>
      </c>
      <c r="D151" s="62">
        <v>9.897640724718719E-2</v>
      </c>
      <c r="E151" s="63" t="s">
        <v>35</v>
      </c>
      <c r="F151" s="21"/>
      <c r="G151" s="21"/>
    </row>
    <row r="152" spans="1:7" x14ac:dyDescent="0.2">
      <c r="A152" s="59" t="s">
        <v>289</v>
      </c>
      <c r="B152" s="60" t="s">
        <v>140</v>
      </c>
      <c r="C152" s="61" t="s">
        <v>144</v>
      </c>
      <c r="D152" s="62">
        <v>0.123720509058984</v>
      </c>
      <c r="E152" s="63" t="s">
        <v>35</v>
      </c>
      <c r="F152" s="21"/>
      <c r="G152" s="21"/>
    </row>
    <row r="153" spans="1:7" x14ac:dyDescent="0.2">
      <c r="A153" s="59" t="s">
        <v>290</v>
      </c>
      <c r="B153" s="60" t="s">
        <v>140</v>
      </c>
      <c r="C153" s="61" t="s">
        <v>146</v>
      </c>
      <c r="D153" s="62">
        <v>0.14846461087078081</v>
      </c>
      <c r="E153" s="63" t="s">
        <v>35</v>
      </c>
      <c r="F153" s="21"/>
      <c r="G153" s="21"/>
    </row>
    <row r="154" spans="1:7" x14ac:dyDescent="0.2">
      <c r="A154" s="59" t="s">
        <v>291</v>
      </c>
      <c r="B154" s="60" t="s">
        <v>140</v>
      </c>
      <c r="C154" s="61" t="s">
        <v>148</v>
      </c>
      <c r="D154" s="62">
        <v>0.17320871268257759</v>
      </c>
      <c r="E154" s="63" t="s">
        <v>35</v>
      </c>
      <c r="F154" s="21"/>
      <c r="G154" s="21"/>
    </row>
    <row r="155" spans="1:7" x14ac:dyDescent="0.2">
      <c r="A155" s="59" t="s">
        <v>292</v>
      </c>
      <c r="B155" s="60" t="s">
        <v>293</v>
      </c>
      <c r="C155" s="61"/>
      <c r="D155" s="62" t="s">
        <v>64</v>
      </c>
      <c r="E155" s="63" t="s">
        <v>82</v>
      </c>
      <c r="F155" s="21"/>
      <c r="G155" s="21"/>
    </row>
    <row r="156" spans="1:7" x14ac:dyDescent="0.2">
      <c r="A156" s="59" t="s">
        <v>294</v>
      </c>
      <c r="B156" s="60" t="s">
        <v>293</v>
      </c>
      <c r="C156" s="61" t="s">
        <v>295</v>
      </c>
      <c r="D156" s="62">
        <v>39.344359085847486</v>
      </c>
      <c r="E156" s="63" t="s">
        <v>82</v>
      </c>
      <c r="F156" s="21"/>
      <c r="G156" s="21"/>
    </row>
    <row r="157" spans="1:7" x14ac:dyDescent="0.2">
      <c r="A157" s="59" t="s">
        <v>296</v>
      </c>
      <c r="B157" s="60" t="s">
        <v>293</v>
      </c>
      <c r="C157" s="61" t="s">
        <v>297</v>
      </c>
      <c r="D157" s="62">
        <v>31.475487268677991</v>
      </c>
      <c r="E157" s="63" t="s">
        <v>82</v>
      </c>
      <c r="F157" s="21"/>
      <c r="G157" s="21"/>
    </row>
    <row r="158" spans="1:7" x14ac:dyDescent="0.2">
      <c r="A158" s="59" t="s">
        <v>298</v>
      </c>
      <c r="B158" s="60" t="s">
        <v>293</v>
      </c>
      <c r="C158" s="61" t="s">
        <v>299</v>
      </c>
      <c r="D158" s="62">
        <v>23.606615451508489</v>
      </c>
      <c r="E158" s="63" t="s">
        <v>82</v>
      </c>
      <c r="F158" s="21"/>
      <c r="G158" s="21"/>
    </row>
    <row r="159" spans="1:7" x14ac:dyDescent="0.2">
      <c r="A159" s="59" t="s">
        <v>300</v>
      </c>
      <c r="B159" s="60" t="s">
        <v>293</v>
      </c>
      <c r="C159" s="61" t="s">
        <v>301</v>
      </c>
      <c r="D159" s="62">
        <v>21.46055950137136</v>
      </c>
      <c r="E159" s="63" t="s">
        <v>82</v>
      </c>
      <c r="F159" s="21"/>
      <c r="G159" s="21"/>
    </row>
    <row r="160" spans="1:7" x14ac:dyDescent="0.2">
      <c r="A160" s="59" t="s">
        <v>302</v>
      </c>
      <c r="B160" s="60" t="s">
        <v>303</v>
      </c>
      <c r="C160" s="61"/>
      <c r="D160" s="62" t="s">
        <v>64</v>
      </c>
      <c r="E160" s="63" t="s">
        <v>82</v>
      </c>
      <c r="F160" s="21"/>
      <c r="G160" s="21"/>
    </row>
    <row r="161" spans="1:7" x14ac:dyDescent="0.2">
      <c r="A161" s="59" t="s">
        <v>304</v>
      </c>
      <c r="B161" s="60" t="s">
        <v>303</v>
      </c>
      <c r="C161" s="61" t="s">
        <v>66</v>
      </c>
      <c r="D161" s="62">
        <v>3.3754264394908167</v>
      </c>
      <c r="E161" s="63" t="s">
        <v>82</v>
      </c>
      <c r="F161" s="21"/>
      <c r="G161" s="21"/>
    </row>
    <row r="162" spans="1:7" x14ac:dyDescent="0.2">
      <c r="A162" s="59" t="s">
        <v>305</v>
      </c>
      <c r="B162" s="60" t="s">
        <v>303</v>
      </c>
      <c r="C162" s="61" t="s">
        <v>68</v>
      </c>
      <c r="D162" s="62">
        <v>4.5205698620847761</v>
      </c>
      <c r="E162" s="63" t="s">
        <v>82</v>
      </c>
      <c r="F162" s="21"/>
      <c r="G162" s="21"/>
    </row>
    <row r="163" spans="1:7" x14ac:dyDescent="0.2">
      <c r="A163" s="59" t="s">
        <v>306</v>
      </c>
      <c r="B163" s="60" t="s">
        <v>303</v>
      </c>
      <c r="C163" s="61" t="s">
        <v>70</v>
      </c>
      <c r="D163" s="62">
        <v>5.9557220450954462</v>
      </c>
      <c r="E163" s="63" t="s">
        <v>82</v>
      </c>
      <c r="F163" s="21"/>
      <c r="G163" s="21"/>
    </row>
    <row r="164" spans="1:7" x14ac:dyDescent="0.2">
      <c r="A164" s="59" t="s">
        <v>307</v>
      </c>
      <c r="B164" s="60" t="s">
        <v>303</v>
      </c>
      <c r="C164" s="61" t="s">
        <v>72</v>
      </c>
      <c r="D164" s="62">
        <v>7.9043200627744437</v>
      </c>
      <c r="E164" s="63" t="s">
        <v>82</v>
      </c>
      <c r="F164" s="21"/>
      <c r="G164" s="21"/>
    </row>
    <row r="165" spans="1:7" ht="22.5" x14ac:dyDescent="0.2">
      <c r="A165" s="59" t="s">
        <v>308</v>
      </c>
      <c r="B165" s="60" t="s">
        <v>309</v>
      </c>
      <c r="C165" s="61"/>
      <c r="D165" s="62" t="s">
        <v>76</v>
      </c>
      <c r="E165" s="63" t="s">
        <v>310</v>
      </c>
      <c r="F165" s="21"/>
      <c r="G165" s="21"/>
    </row>
    <row r="166" spans="1:7" ht="22.5" x14ac:dyDescent="0.2">
      <c r="A166" s="59" t="s">
        <v>311</v>
      </c>
      <c r="B166" s="60" t="s">
        <v>312</v>
      </c>
      <c r="C166" s="61"/>
      <c r="D166" s="62">
        <v>664.25541313768508</v>
      </c>
      <c r="E166" s="63" t="s">
        <v>41</v>
      </c>
      <c r="F166" s="21"/>
      <c r="G166" s="21"/>
    </row>
    <row r="167" spans="1:7" ht="33.75" x14ac:dyDescent="0.2">
      <c r="A167" s="59" t="s">
        <v>313</v>
      </c>
      <c r="B167" s="60" t="s">
        <v>314</v>
      </c>
      <c r="C167" s="61"/>
      <c r="D167" s="62">
        <v>26157.979789322868</v>
      </c>
      <c r="E167" s="63" t="s">
        <v>315</v>
      </c>
      <c r="F167" s="21"/>
      <c r="G167" s="21"/>
    </row>
    <row r="168" spans="1:7" ht="33.75" x14ac:dyDescent="0.2">
      <c r="A168" s="59" t="s">
        <v>316</v>
      </c>
      <c r="B168" s="60" t="s">
        <v>317</v>
      </c>
      <c r="C168" s="61"/>
      <c r="D168" s="62">
        <v>25981.306902386634</v>
      </c>
      <c r="E168" s="63" t="s">
        <v>41</v>
      </c>
      <c r="F168" s="21"/>
      <c r="G168" s="21"/>
    </row>
    <row r="169" spans="1:7" ht="33.75" x14ac:dyDescent="0.2">
      <c r="A169" s="59" t="s">
        <v>318</v>
      </c>
      <c r="B169" s="60" t="s">
        <v>319</v>
      </c>
      <c r="C169" s="61"/>
      <c r="D169" s="62">
        <v>21460.559501371365</v>
      </c>
      <c r="E169" s="63" t="s">
        <v>41</v>
      </c>
      <c r="F169" s="21"/>
      <c r="G169" s="21"/>
    </row>
    <row r="170" spans="1:7" x14ac:dyDescent="0.2">
      <c r="A170" s="59" t="s">
        <v>320</v>
      </c>
      <c r="B170" s="60" t="s">
        <v>321</v>
      </c>
      <c r="C170" s="61"/>
      <c r="D170" s="62">
        <v>2043.8628096544155</v>
      </c>
      <c r="E170" s="63" t="s">
        <v>35</v>
      </c>
      <c r="F170" s="21"/>
      <c r="G170" s="21"/>
    </row>
    <row r="171" spans="1:7" ht="22.5" x14ac:dyDescent="0.2">
      <c r="A171" s="59" t="s">
        <v>322</v>
      </c>
      <c r="B171" s="60" t="s">
        <v>323</v>
      </c>
      <c r="C171" s="61"/>
      <c r="D171" s="62">
        <v>12.211214244121718</v>
      </c>
      <c r="E171" s="63" t="s">
        <v>135</v>
      </c>
      <c r="F171" s="21"/>
      <c r="G171" s="21"/>
    </row>
    <row r="172" spans="1:7" ht="33.75" x14ac:dyDescent="0.2">
      <c r="A172" s="59" t="s">
        <v>324</v>
      </c>
      <c r="B172" s="60" t="s">
        <v>325</v>
      </c>
      <c r="C172" s="61"/>
      <c r="D172" s="62" t="s">
        <v>64</v>
      </c>
      <c r="E172" s="63"/>
      <c r="F172" s="21"/>
      <c r="G172" s="21"/>
    </row>
    <row r="173" spans="1:7" ht="22.5" x14ac:dyDescent="0.2">
      <c r="A173" s="59" t="s">
        <v>326</v>
      </c>
      <c r="B173" s="60" t="s">
        <v>327</v>
      </c>
      <c r="C173" s="61" t="s">
        <v>66</v>
      </c>
      <c r="D173" s="62">
        <v>3.0138316006768493</v>
      </c>
      <c r="E173" s="63"/>
      <c r="F173" s="21"/>
      <c r="G173" s="21"/>
    </row>
    <row r="174" spans="1:7" ht="22.5" x14ac:dyDescent="0.2">
      <c r="A174" s="59" t="s">
        <v>328</v>
      </c>
      <c r="B174" s="60" t="s">
        <v>327</v>
      </c>
      <c r="C174" s="61" t="s">
        <v>68</v>
      </c>
      <c r="D174" s="62">
        <v>3.4381929467491648</v>
      </c>
      <c r="E174" s="63"/>
      <c r="F174" s="21"/>
      <c r="G174" s="21"/>
    </row>
    <row r="175" spans="1:7" ht="22.5" x14ac:dyDescent="0.2">
      <c r="A175" s="59" t="s">
        <v>329</v>
      </c>
      <c r="B175" s="60" t="s">
        <v>327</v>
      </c>
      <c r="C175" s="61" t="s">
        <v>70</v>
      </c>
      <c r="D175" s="62">
        <v>5.1096570241360384</v>
      </c>
      <c r="E175" s="63"/>
      <c r="F175" s="21"/>
      <c r="G175" s="21"/>
    </row>
    <row r="176" spans="1:7" ht="22.5" x14ac:dyDescent="0.2">
      <c r="A176" s="59" t="s">
        <v>330</v>
      </c>
      <c r="B176" s="60" t="s">
        <v>327</v>
      </c>
      <c r="C176" s="61" t="s">
        <v>72</v>
      </c>
      <c r="D176" s="62">
        <v>6.131588428963247</v>
      </c>
      <c r="E176" s="63"/>
      <c r="F176" s="21"/>
      <c r="G176" s="21"/>
    </row>
    <row r="177" spans="1:7" ht="22.5" x14ac:dyDescent="0.2">
      <c r="A177" s="59" t="s">
        <v>331</v>
      </c>
      <c r="B177" s="60" t="s">
        <v>332</v>
      </c>
      <c r="C177" s="61"/>
      <c r="D177" s="62" t="s">
        <v>64</v>
      </c>
      <c r="E177" s="63" t="s">
        <v>82</v>
      </c>
      <c r="F177" s="21"/>
      <c r="G177" s="21"/>
    </row>
    <row r="178" spans="1:7" ht="22.5" x14ac:dyDescent="0.2">
      <c r="A178" s="59" t="s">
        <v>333</v>
      </c>
      <c r="B178" s="60" t="s">
        <v>332</v>
      </c>
      <c r="C178" s="61" t="s">
        <v>66</v>
      </c>
      <c r="D178" s="62">
        <v>3.0138316006768493</v>
      </c>
      <c r="E178" s="63" t="s">
        <v>82</v>
      </c>
      <c r="F178" s="21"/>
      <c r="G178" s="21"/>
    </row>
    <row r="179" spans="1:7" ht="22.5" x14ac:dyDescent="0.2">
      <c r="A179" s="59" t="s">
        <v>334</v>
      </c>
      <c r="B179" s="60" t="s">
        <v>332</v>
      </c>
      <c r="C179" s="61" t="s">
        <v>68</v>
      </c>
      <c r="D179" s="62">
        <v>3.3723736359297849</v>
      </c>
      <c r="E179" s="63" t="s">
        <v>82</v>
      </c>
      <c r="F179" s="21"/>
      <c r="G179" s="21"/>
    </row>
    <row r="180" spans="1:7" ht="22.5" x14ac:dyDescent="0.2">
      <c r="A180" s="59" t="s">
        <v>335</v>
      </c>
      <c r="B180" s="60" t="s">
        <v>332</v>
      </c>
      <c r="C180" s="61" t="s">
        <v>70</v>
      </c>
      <c r="D180" s="62">
        <v>5.6206227265496418</v>
      </c>
      <c r="E180" s="63" t="s">
        <v>82</v>
      </c>
      <c r="F180" s="21"/>
      <c r="G180" s="21"/>
    </row>
    <row r="181" spans="1:7" ht="22.5" x14ac:dyDescent="0.2">
      <c r="A181" s="59" t="s">
        <v>336</v>
      </c>
      <c r="B181" s="60" t="s">
        <v>332</v>
      </c>
      <c r="C181" s="61" t="s">
        <v>72</v>
      </c>
      <c r="D181" s="62">
        <v>6.7447472718595698</v>
      </c>
      <c r="E181" s="63" t="s">
        <v>82</v>
      </c>
      <c r="F181" s="21"/>
      <c r="G181" s="21"/>
    </row>
    <row r="182" spans="1:7" x14ac:dyDescent="0.2">
      <c r="A182" s="59" t="s">
        <v>337</v>
      </c>
      <c r="B182" s="60" t="s">
        <v>338</v>
      </c>
      <c r="C182" s="61"/>
      <c r="D182" s="62">
        <v>10.219314048272077</v>
      </c>
      <c r="E182" s="63" t="s">
        <v>135</v>
      </c>
      <c r="F182" s="21"/>
      <c r="G182" s="21"/>
    </row>
    <row r="183" spans="1:7" ht="22.5" x14ac:dyDescent="0.2">
      <c r="A183" s="59" t="s">
        <v>339</v>
      </c>
      <c r="B183" s="60" t="s">
        <v>340</v>
      </c>
      <c r="C183" s="61"/>
      <c r="D183" s="62">
        <v>56.292831621837713</v>
      </c>
      <c r="E183" s="63" t="s">
        <v>135</v>
      </c>
      <c r="F183" s="21"/>
      <c r="G183" s="21"/>
    </row>
    <row r="184" spans="1:7" x14ac:dyDescent="0.2">
      <c r="A184" s="59" t="s">
        <v>341</v>
      </c>
      <c r="B184" s="60" t="s">
        <v>342</v>
      </c>
      <c r="C184" s="61"/>
      <c r="D184" s="62" t="s">
        <v>76</v>
      </c>
      <c r="E184" s="63" t="s">
        <v>35</v>
      </c>
      <c r="F184" s="21"/>
      <c r="G184" s="21"/>
    </row>
    <row r="185" spans="1:7" ht="22.5" x14ac:dyDescent="0.2">
      <c r="A185" s="59" t="s">
        <v>343</v>
      </c>
      <c r="B185" s="60" t="s">
        <v>344</v>
      </c>
      <c r="C185" s="61"/>
      <c r="D185" s="62">
        <v>66.425541313768505</v>
      </c>
      <c r="E185" s="63" t="s">
        <v>101</v>
      </c>
      <c r="F185" s="21"/>
      <c r="G185" s="21"/>
    </row>
    <row r="186" spans="1:7" ht="22.5" x14ac:dyDescent="0.2">
      <c r="A186" s="59" t="s">
        <v>345</v>
      </c>
      <c r="B186" s="60" t="s">
        <v>346</v>
      </c>
      <c r="C186" s="61"/>
      <c r="D186" s="62" t="s">
        <v>64</v>
      </c>
      <c r="E186" s="63" t="s">
        <v>82</v>
      </c>
      <c r="F186" s="21"/>
      <c r="G186" s="21"/>
    </row>
    <row r="187" spans="1:7" ht="22.5" x14ac:dyDescent="0.2">
      <c r="A187" s="59" t="s">
        <v>347</v>
      </c>
      <c r="B187" s="60" t="s">
        <v>346</v>
      </c>
      <c r="C187" s="61" t="s">
        <v>66</v>
      </c>
      <c r="D187" s="62">
        <v>3.0138316006768493</v>
      </c>
      <c r="E187" s="63" t="s">
        <v>82</v>
      </c>
      <c r="F187" s="21"/>
      <c r="G187" s="21"/>
    </row>
    <row r="188" spans="1:7" ht="22.5" x14ac:dyDescent="0.2">
      <c r="A188" s="59" t="s">
        <v>348</v>
      </c>
      <c r="B188" s="60" t="s">
        <v>346</v>
      </c>
      <c r="C188" s="61" t="s">
        <v>68</v>
      </c>
      <c r="D188" s="62">
        <v>3.3723736359297849</v>
      </c>
      <c r="E188" s="63" t="s">
        <v>82</v>
      </c>
      <c r="F188" s="21"/>
      <c r="G188" s="21"/>
    </row>
    <row r="189" spans="1:7" ht="22.5" x14ac:dyDescent="0.2">
      <c r="A189" s="59" t="s">
        <v>349</v>
      </c>
      <c r="B189" s="60" t="s">
        <v>346</v>
      </c>
      <c r="C189" s="61" t="s">
        <v>70</v>
      </c>
      <c r="D189" s="62">
        <v>5.6206227265496418</v>
      </c>
      <c r="E189" s="63" t="s">
        <v>82</v>
      </c>
      <c r="F189" s="21"/>
      <c r="G189" s="21"/>
    </row>
    <row r="190" spans="1:7" ht="22.5" x14ac:dyDescent="0.2">
      <c r="A190" s="59" t="s">
        <v>350</v>
      </c>
      <c r="B190" s="60" t="s">
        <v>346</v>
      </c>
      <c r="C190" s="61" t="s">
        <v>72</v>
      </c>
      <c r="D190" s="62">
        <v>6.7447472718595698</v>
      </c>
      <c r="E190" s="63" t="s">
        <v>82</v>
      </c>
      <c r="F190" s="21"/>
      <c r="G190" s="21"/>
    </row>
    <row r="191" spans="1:7" x14ac:dyDescent="0.2">
      <c r="A191" s="59" t="s">
        <v>351</v>
      </c>
      <c r="B191" s="60" t="s">
        <v>352</v>
      </c>
      <c r="C191" s="61"/>
      <c r="D191" s="62" t="s">
        <v>64</v>
      </c>
      <c r="E191" s="63" t="s">
        <v>82</v>
      </c>
      <c r="F191" s="21"/>
      <c r="G191" s="21"/>
    </row>
    <row r="192" spans="1:7" x14ac:dyDescent="0.2">
      <c r="A192" s="59" t="s">
        <v>353</v>
      </c>
      <c r="B192" s="60" t="s">
        <v>352</v>
      </c>
      <c r="C192" s="61" t="s">
        <v>66</v>
      </c>
      <c r="D192" s="62">
        <v>3.0138316006768493</v>
      </c>
      <c r="E192" s="63" t="s">
        <v>82</v>
      </c>
      <c r="F192" s="21"/>
      <c r="G192" s="21"/>
    </row>
    <row r="193" spans="1:7" x14ac:dyDescent="0.2">
      <c r="A193" s="59" t="s">
        <v>354</v>
      </c>
      <c r="B193" s="60" t="s">
        <v>352</v>
      </c>
      <c r="C193" s="61" t="s">
        <v>68</v>
      </c>
      <c r="D193" s="62">
        <v>3.3723736359297849</v>
      </c>
      <c r="E193" s="63" t="s">
        <v>82</v>
      </c>
      <c r="F193" s="21"/>
      <c r="G193" s="21"/>
    </row>
    <row r="194" spans="1:7" x14ac:dyDescent="0.2">
      <c r="A194" s="59" t="s">
        <v>355</v>
      </c>
      <c r="B194" s="60" t="s">
        <v>352</v>
      </c>
      <c r="C194" s="61" t="s">
        <v>70</v>
      </c>
      <c r="D194" s="62">
        <v>4.4964981812397147</v>
      </c>
      <c r="E194" s="63" t="s">
        <v>82</v>
      </c>
      <c r="F194" s="21"/>
      <c r="G194" s="21"/>
    </row>
    <row r="195" spans="1:7" x14ac:dyDescent="0.2">
      <c r="A195" s="59" t="s">
        <v>356</v>
      </c>
      <c r="B195" s="60" t="s">
        <v>352</v>
      </c>
      <c r="C195" s="61" t="s">
        <v>72</v>
      </c>
      <c r="D195" s="62">
        <v>6.7447472718595698</v>
      </c>
      <c r="E195" s="63" t="s">
        <v>82</v>
      </c>
      <c r="F195" s="21"/>
      <c r="G195" s="21"/>
    </row>
    <row r="196" spans="1:7" ht="33.75" x14ac:dyDescent="0.2">
      <c r="A196" s="59" t="s">
        <v>357</v>
      </c>
      <c r="B196" s="60" t="s">
        <v>358</v>
      </c>
      <c r="C196" s="61"/>
      <c r="D196" s="62">
        <v>2810.3113632748209</v>
      </c>
      <c r="E196" s="63"/>
      <c r="F196" s="21"/>
      <c r="G196" s="21"/>
    </row>
    <row r="197" spans="1:7" x14ac:dyDescent="0.2">
      <c r="A197" s="59" t="s">
        <v>359</v>
      </c>
      <c r="B197" s="60" t="s">
        <v>360</v>
      </c>
      <c r="C197" s="61"/>
      <c r="D197" s="62">
        <v>2554.8285120680189</v>
      </c>
      <c r="E197" s="63" t="s">
        <v>47</v>
      </c>
      <c r="F197" s="21"/>
      <c r="G197" s="21"/>
    </row>
    <row r="198" spans="1:7" x14ac:dyDescent="0.2">
      <c r="A198" s="59" t="s">
        <v>361</v>
      </c>
      <c r="B198" s="60" t="s">
        <v>362</v>
      </c>
      <c r="C198" s="61"/>
      <c r="D198" s="62">
        <v>2424.9219775560859</v>
      </c>
      <c r="E198" s="63" t="s">
        <v>47</v>
      </c>
      <c r="F198" s="21"/>
      <c r="G198" s="21"/>
    </row>
    <row r="199" spans="1:7" x14ac:dyDescent="0.2">
      <c r="A199" s="59" t="s">
        <v>363</v>
      </c>
      <c r="B199" s="60" t="s">
        <v>364</v>
      </c>
      <c r="C199" s="61"/>
      <c r="D199" s="62">
        <v>2554.8285120680189</v>
      </c>
      <c r="E199" s="63" t="s">
        <v>47</v>
      </c>
      <c r="F199" s="21"/>
      <c r="G199" s="21"/>
    </row>
    <row r="200" spans="1:7" ht="22.5" x14ac:dyDescent="0.2">
      <c r="A200" s="59" t="s">
        <v>365</v>
      </c>
      <c r="B200" s="60" t="s">
        <v>366</v>
      </c>
      <c r="C200" s="61"/>
      <c r="D200" s="62">
        <v>3525.6633466538665</v>
      </c>
      <c r="E200" s="63"/>
      <c r="F200" s="21"/>
      <c r="G200" s="21"/>
    </row>
    <row r="201" spans="1:7" x14ac:dyDescent="0.2">
      <c r="A201" s="59" t="s">
        <v>367</v>
      </c>
      <c r="B201" s="60" t="s">
        <v>368</v>
      </c>
      <c r="C201" s="61"/>
      <c r="D201" s="62">
        <v>3525.6633466538665</v>
      </c>
      <c r="E201" s="63"/>
      <c r="F201" s="21"/>
      <c r="G201" s="21"/>
    </row>
    <row r="202" spans="1:7" ht="22.5" x14ac:dyDescent="0.2">
      <c r="A202" s="59" t="s">
        <v>369</v>
      </c>
      <c r="B202" s="60" t="s">
        <v>370</v>
      </c>
      <c r="C202" s="61"/>
      <c r="D202" s="62">
        <v>3377.5698973102621</v>
      </c>
      <c r="E202" s="63" t="s">
        <v>47</v>
      </c>
      <c r="F202" s="21"/>
      <c r="G202" s="21"/>
    </row>
    <row r="203" spans="1:7" x14ac:dyDescent="0.2">
      <c r="A203" s="59" t="s">
        <v>371</v>
      </c>
      <c r="B203" s="60" t="s">
        <v>372</v>
      </c>
      <c r="C203" s="61"/>
      <c r="D203" s="62">
        <v>3377.5698973102621</v>
      </c>
      <c r="E203" s="63" t="s">
        <v>47</v>
      </c>
      <c r="F203" s="21"/>
      <c r="G203" s="21"/>
    </row>
    <row r="204" spans="1:7" x14ac:dyDescent="0.2">
      <c r="A204" s="59" t="s">
        <v>373</v>
      </c>
      <c r="B204" s="60" t="s">
        <v>374</v>
      </c>
      <c r="C204" s="61"/>
      <c r="D204" s="62">
        <v>28103.113632748213</v>
      </c>
      <c r="E204" s="63" t="s">
        <v>41</v>
      </c>
      <c r="F204" s="21"/>
      <c r="G204" s="21"/>
    </row>
    <row r="205" spans="1:7" ht="33.75" x14ac:dyDescent="0.2">
      <c r="A205" s="59" t="s">
        <v>375</v>
      </c>
      <c r="B205" s="60" t="s">
        <v>376</v>
      </c>
      <c r="C205" s="61"/>
      <c r="D205" s="62" t="s">
        <v>76</v>
      </c>
      <c r="E205" s="63" t="s">
        <v>41</v>
      </c>
      <c r="F205" s="21"/>
      <c r="G205" s="21"/>
    </row>
    <row r="206" spans="1:7" ht="33.75" x14ac:dyDescent="0.2">
      <c r="A206" s="59" t="s">
        <v>377</v>
      </c>
      <c r="B206" s="60" t="s">
        <v>378</v>
      </c>
      <c r="C206" s="61"/>
      <c r="D206" s="62">
        <v>14837.171999999999</v>
      </c>
      <c r="E206" s="63" t="s">
        <v>379</v>
      </c>
      <c r="F206" s="21"/>
      <c r="G206" s="21"/>
    </row>
    <row r="207" spans="1:7" ht="56.25" x14ac:dyDescent="0.2">
      <c r="A207" s="59" t="s">
        <v>380</v>
      </c>
      <c r="B207" s="60" t="s">
        <v>381</v>
      </c>
      <c r="C207" s="61"/>
      <c r="D207" s="62">
        <v>15328.971072408116</v>
      </c>
      <c r="E207" s="63" t="s">
        <v>38</v>
      </c>
      <c r="F207" s="21"/>
      <c r="G207" s="21"/>
    </row>
    <row r="208" spans="1:7" ht="33.75" x14ac:dyDescent="0.2">
      <c r="A208" s="59" t="s">
        <v>382</v>
      </c>
      <c r="B208" s="60" t="s">
        <v>383</v>
      </c>
      <c r="C208" s="61"/>
      <c r="D208" s="62" t="s">
        <v>64</v>
      </c>
      <c r="E208" s="63" t="s">
        <v>82</v>
      </c>
      <c r="F208" s="21"/>
      <c r="G208" s="21"/>
    </row>
    <row r="209" spans="1:7" ht="33.75" x14ac:dyDescent="0.2">
      <c r="A209" s="59" t="s">
        <v>384</v>
      </c>
      <c r="B209" s="60" t="s">
        <v>383</v>
      </c>
      <c r="C209" s="61" t="s">
        <v>66</v>
      </c>
      <c r="D209" s="62">
        <v>2.3504422311025772</v>
      </c>
      <c r="E209" s="63" t="s">
        <v>82</v>
      </c>
      <c r="F209" s="21"/>
      <c r="G209" s="21"/>
    </row>
    <row r="210" spans="1:7" ht="33.75" x14ac:dyDescent="0.2">
      <c r="A210" s="59" t="s">
        <v>385</v>
      </c>
      <c r="B210" s="60" t="s">
        <v>383</v>
      </c>
      <c r="C210" s="61" t="s">
        <v>68</v>
      </c>
      <c r="D210" s="62">
        <v>2.9636010739989023</v>
      </c>
      <c r="E210" s="63" t="s">
        <v>82</v>
      </c>
      <c r="F210" s="21"/>
      <c r="G210" s="21"/>
    </row>
    <row r="211" spans="1:7" ht="33.75" x14ac:dyDescent="0.2">
      <c r="A211" s="59" t="s">
        <v>386</v>
      </c>
      <c r="B211" s="60" t="s">
        <v>383</v>
      </c>
      <c r="C211" s="61" t="s">
        <v>70</v>
      </c>
      <c r="D211" s="62">
        <v>3.5767599168952278</v>
      </c>
      <c r="E211" s="63" t="s">
        <v>82</v>
      </c>
      <c r="F211" s="21"/>
      <c r="G211" s="21"/>
    </row>
    <row r="212" spans="1:7" ht="33.75" x14ac:dyDescent="0.2">
      <c r="A212" s="59" t="s">
        <v>387</v>
      </c>
      <c r="B212" s="60" t="s">
        <v>383</v>
      </c>
      <c r="C212" s="61" t="s">
        <v>72</v>
      </c>
      <c r="D212" s="62">
        <v>7.1177738857105854</v>
      </c>
      <c r="E212" s="63" t="s">
        <v>82</v>
      </c>
      <c r="F212" s="21"/>
      <c r="G212" s="21"/>
    </row>
    <row r="213" spans="1:7" ht="22.5" x14ac:dyDescent="0.2">
      <c r="A213" s="59" t="s">
        <v>388</v>
      </c>
      <c r="B213" s="60" t="s">
        <v>389</v>
      </c>
      <c r="C213" s="61"/>
      <c r="D213" s="62">
        <v>2043.8628096544155</v>
      </c>
      <c r="E213" s="63" t="s">
        <v>47</v>
      </c>
      <c r="F213" s="21"/>
      <c r="G213" s="21"/>
    </row>
    <row r="214" spans="1:7" x14ac:dyDescent="0.2">
      <c r="A214" s="59" t="s">
        <v>390</v>
      </c>
      <c r="B214" s="60" t="s">
        <v>391</v>
      </c>
      <c r="C214" s="61"/>
      <c r="D214" s="62">
        <v>2043.8628096544155</v>
      </c>
      <c r="E214" s="63"/>
      <c r="F214" s="21"/>
      <c r="G214" s="21"/>
    </row>
    <row r="215" spans="1:7" ht="33.75" x14ac:dyDescent="0.2">
      <c r="A215" s="59" t="s">
        <v>392</v>
      </c>
      <c r="B215" s="60" t="s">
        <v>393</v>
      </c>
      <c r="C215" s="61"/>
      <c r="D215" s="62" t="s">
        <v>76</v>
      </c>
      <c r="E215" s="63"/>
      <c r="F215" s="21"/>
      <c r="G215" s="21"/>
    </row>
    <row r="216" spans="1:7" ht="33.75" x14ac:dyDescent="0.2">
      <c r="A216" s="59" t="s">
        <v>394</v>
      </c>
      <c r="B216" s="60" t="s">
        <v>395</v>
      </c>
      <c r="C216" s="61"/>
      <c r="D216" s="62">
        <v>44511.515999999996</v>
      </c>
      <c r="E216" s="63" t="s">
        <v>379</v>
      </c>
      <c r="F216" s="21"/>
      <c r="G216" s="21"/>
    </row>
    <row r="217" spans="1:7" ht="22.5" x14ac:dyDescent="0.2">
      <c r="A217" s="59" t="s">
        <v>396</v>
      </c>
      <c r="B217" s="60" t="s">
        <v>397</v>
      </c>
      <c r="C217" s="61"/>
      <c r="D217" s="62">
        <v>1299.0653451193318</v>
      </c>
      <c r="E217" s="63"/>
      <c r="F217" s="21"/>
      <c r="G217" s="21"/>
    </row>
    <row r="218" spans="1:7" ht="22.5" x14ac:dyDescent="0.2">
      <c r="A218" s="59" t="s">
        <v>398</v>
      </c>
      <c r="B218" s="60" t="s">
        <v>399</v>
      </c>
      <c r="C218" s="61"/>
      <c r="D218" s="62">
        <v>649.53267255966591</v>
      </c>
      <c r="E218" s="63" t="s">
        <v>101</v>
      </c>
      <c r="F218" s="21"/>
      <c r="G218" s="21"/>
    </row>
    <row r="219" spans="1:7" ht="22.5" x14ac:dyDescent="0.2">
      <c r="A219" s="59" t="s">
        <v>400</v>
      </c>
      <c r="B219" s="60" t="s">
        <v>401</v>
      </c>
      <c r="C219" s="61"/>
      <c r="D219" s="62" t="s">
        <v>64</v>
      </c>
      <c r="E219" s="63" t="s">
        <v>82</v>
      </c>
      <c r="F219" s="21"/>
      <c r="G219" s="21"/>
    </row>
    <row r="220" spans="1:7" ht="22.5" x14ac:dyDescent="0.2">
      <c r="A220" s="59" t="s">
        <v>402</v>
      </c>
      <c r="B220" s="60" t="s">
        <v>401</v>
      </c>
      <c r="C220" s="61" t="s">
        <v>66</v>
      </c>
      <c r="D220" s="62" t="s">
        <v>76</v>
      </c>
      <c r="E220" s="63" t="s">
        <v>82</v>
      </c>
      <c r="F220" s="21"/>
      <c r="G220" s="21"/>
    </row>
    <row r="221" spans="1:7" ht="22.5" x14ac:dyDescent="0.2">
      <c r="A221" s="59" t="s">
        <v>403</v>
      </c>
      <c r="B221" s="60" t="s">
        <v>401</v>
      </c>
      <c r="C221" s="61" t="s">
        <v>68</v>
      </c>
      <c r="D221" s="62" t="s">
        <v>76</v>
      </c>
      <c r="E221" s="63" t="s">
        <v>82</v>
      </c>
      <c r="F221" s="21"/>
      <c r="G221" s="21"/>
    </row>
    <row r="222" spans="1:7" ht="22.5" x14ac:dyDescent="0.2">
      <c r="A222" s="59" t="s">
        <v>404</v>
      </c>
      <c r="B222" s="60" t="s">
        <v>401</v>
      </c>
      <c r="C222" s="61" t="s">
        <v>70</v>
      </c>
      <c r="D222" s="62" t="s">
        <v>76</v>
      </c>
      <c r="E222" s="63" t="s">
        <v>82</v>
      </c>
      <c r="F222" s="21"/>
      <c r="G222" s="21"/>
    </row>
    <row r="223" spans="1:7" ht="22.5" x14ac:dyDescent="0.2">
      <c r="A223" s="59" t="s">
        <v>405</v>
      </c>
      <c r="B223" s="60" t="s">
        <v>401</v>
      </c>
      <c r="C223" s="61" t="s">
        <v>72</v>
      </c>
      <c r="D223" s="62" t="s">
        <v>76</v>
      </c>
      <c r="E223" s="63" t="s">
        <v>82</v>
      </c>
      <c r="F223" s="21"/>
      <c r="G223" s="21"/>
    </row>
    <row r="224" spans="1:7" ht="22.5" x14ac:dyDescent="0.2">
      <c r="A224" s="59" t="s">
        <v>406</v>
      </c>
      <c r="B224" s="60" t="s">
        <v>407</v>
      </c>
      <c r="C224" s="61"/>
      <c r="D224" s="62" t="s">
        <v>64</v>
      </c>
      <c r="E224" s="63" t="s">
        <v>82</v>
      </c>
      <c r="F224" s="21"/>
      <c r="G224" s="21"/>
    </row>
    <row r="225" spans="1:7" ht="22.5" x14ac:dyDescent="0.2">
      <c r="A225" s="59" t="s">
        <v>408</v>
      </c>
      <c r="B225" s="60" t="s">
        <v>407</v>
      </c>
      <c r="C225" s="61" t="s">
        <v>409</v>
      </c>
      <c r="D225" s="62">
        <v>0.91973826434448702</v>
      </c>
      <c r="E225" s="63" t="s">
        <v>82</v>
      </c>
      <c r="F225" s="21"/>
      <c r="G225" s="21"/>
    </row>
    <row r="226" spans="1:7" ht="22.5" x14ac:dyDescent="0.2">
      <c r="A226" s="59" t="s">
        <v>410</v>
      </c>
      <c r="B226" s="60" t="s">
        <v>407</v>
      </c>
      <c r="C226" s="61" t="s">
        <v>411</v>
      </c>
      <c r="D226" s="62">
        <v>1.1752211155512886</v>
      </c>
      <c r="E226" s="63" t="s">
        <v>82</v>
      </c>
      <c r="F226" s="21"/>
      <c r="G226" s="21"/>
    </row>
    <row r="227" spans="1:7" ht="22.5" x14ac:dyDescent="0.2">
      <c r="A227" s="59" t="s">
        <v>412</v>
      </c>
      <c r="B227" s="60" t="s">
        <v>413</v>
      </c>
      <c r="C227" s="61"/>
      <c r="D227" s="62" t="s">
        <v>64</v>
      </c>
      <c r="E227" s="63" t="s">
        <v>82</v>
      </c>
      <c r="F227" s="21"/>
      <c r="G227" s="21"/>
    </row>
    <row r="228" spans="1:7" ht="22.5" x14ac:dyDescent="0.2">
      <c r="A228" s="59" t="s">
        <v>414</v>
      </c>
      <c r="B228" s="60" t="s">
        <v>413</v>
      </c>
      <c r="C228" s="61" t="s">
        <v>409</v>
      </c>
      <c r="D228" s="62">
        <v>1.3285108262753702</v>
      </c>
      <c r="E228" s="63" t="s">
        <v>82</v>
      </c>
      <c r="F228" s="21"/>
      <c r="G228" s="21"/>
    </row>
    <row r="229" spans="1:7" ht="22.5" x14ac:dyDescent="0.2">
      <c r="A229" s="59" t="s">
        <v>415</v>
      </c>
      <c r="B229" s="60" t="s">
        <v>413</v>
      </c>
      <c r="C229" s="61" t="s">
        <v>411</v>
      </c>
      <c r="D229" s="62">
        <v>1.5839936774821719</v>
      </c>
      <c r="E229" s="63" t="s">
        <v>82</v>
      </c>
      <c r="F229" s="21"/>
      <c r="G229" s="21"/>
    </row>
    <row r="230" spans="1:7" ht="22.5" x14ac:dyDescent="0.2">
      <c r="A230" s="59" t="s">
        <v>416</v>
      </c>
      <c r="B230" s="60" t="s">
        <v>417</v>
      </c>
      <c r="C230" s="61"/>
      <c r="D230" s="62" t="s">
        <v>64</v>
      </c>
      <c r="E230" s="63" t="s">
        <v>82</v>
      </c>
      <c r="F230" s="21"/>
      <c r="G230" s="21"/>
    </row>
    <row r="231" spans="1:7" ht="22.5" x14ac:dyDescent="0.2">
      <c r="A231" s="59" t="s">
        <v>418</v>
      </c>
      <c r="B231" s="60" t="s">
        <v>417</v>
      </c>
      <c r="C231" s="61" t="s">
        <v>409</v>
      </c>
      <c r="D231" s="62">
        <v>1.6861868179648924</v>
      </c>
      <c r="E231" s="63" t="s">
        <v>82</v>
      </c>
      <c r="F231" s="21"/>
      <c r="G231" s="21"/>
    </row>
    <row r="232" spans="1:7" ht="22.5" x14ac:dyDescent="0.2">
      <c r="A232" s="59" t="s">
        <v>419</v>
      </c>
      <c r="B232" s="60" t="s">
        <v>417</v>
      </c>
      <c r="C232" s="61" t="s">
        <v>411</v>
      </c>
      <c r="D232" s="62">
        <v>1.992766239413055</v>
      </c>
      <c r="E232" s="63" t="s">
        <v>82</v>
      </c>
      <c r="F232" s="21"/>
      <c r="G232" s="21"/>
    </row>
    <row r="233" spans="1:7" x14ac:dyDescent="0.2">
      <c r="A233" s="59" t="s">
        <v>420</v>
      </c>
      <c r="B233" s="60" t="s">
        <v>421</v>
      </c>
      <c r="C233" s="61"/>
      <c r="D233" s="62">
        <v>510.96570241360388</v>
      </c>
      <c r="E233" s="63" t="s">
        <v>47</v>
      </c>
      <c r="F233" s="21"/>
      <c r="G233" s="21"/>
    </row>
    <row r="234" spans="1:7" ht="22.5" x14ac:dyDescent="0.2">
      <c r="A234" s="59" t="s">
        <v>422</v>
      </c>
      <c r="B234" s="60" t="s">
        <v>183</v>
      </c>
      <c r="C234" s="61"/>
      <c r="D234" s="62" t="s">
        <v>44</v>
      </c>
      <c r="E234" s="63" t="s">
        <v>82</v>
      </c>
      <c r="F234" s="21"/>
      <c r="G234" s="21"/>
    </row>
    <row r="235" spans="1:7" ht="22.5" x14ac:dyDescent="0.2">
      <c r="A235" s="59" t="s">
        <v>423</v>
      </c>
      <c r="B235" s="60" t="s">
        <v>183</v>
      </c>
      <c r="C235" s="61" t="s">
        <v>409</v>
      </c>
      <c r="D235" s="62" t="s">
        <v>44</v>
      </c>
      <c r="E235" s="63" t="s">
        <v>82</v>
      </c>
      <c r="F235" s="21"/>
      <c r="G235" s="21"/>
    </row>
    <row r="236" spans="1:7" ht="22.5" x14ac:dyDescent="0.2">
      <c r="A236" s="59" t="s">
        <v>424</v>
      </c>
      <c r="B236" s="60" t="s">
        <v>183</v>
      </c>
      <c r="C236" s="61" t="s">
        <v>411</v>
      </c>
      <c r="D236" s="62" t="s">
        <v>44</v>
      </c>
      <c r="E236" s="63" t="s">
        <v>82</v>
      </c>
      <c r="F236" s="21"/>
      <c r="G236" s="21"/>
    </row>
    <row r="237" spans="1:7" ht="33.75" x14ac:dyDescent="0.2">
      <c r="A237" s="59" t="s">
        <v>425</v>
      </c>
      <c r="B237" s="60" t="s">
        <v>426</v>
      </c>
      <c r="C237" s="61"/>
      <c r="D237" s="62" t="s">
        <v>64</v>
      </c>
      <c r="E237" s="63" t="s">
        <v>82</v>
      </c>
      <c r="F237" s="21"/>
      <c r="G237" s="21"/>
    </row>
    <row r="238" spans="1:7" ht="33.75" x14ac:dyDescent="0.2">
      <c r="A238" s="59" t="s">
        <v>427</v>
      </c>
      <c r="B238" s="60" t="s">
        <v>426</v>
      </c>
      <c r="C238" s="61" t="s">
        <v>66</v>
      </c>
      <c r="D238" s="62">
        <v>2.3504422311025772</v>
      </c>
      <c r="E238" s="63" t="s">
        <v>82</v>
      </c>
      <c r="F238" s="21"/>
      <c r="G238" s="21"/>
    </row>
    <row r="239" spans="1:7" ht="33.75" x14ac:dyDescent="0.2">
      <c r="A239" s="59" t="s">
        <v>428</v>
      </c>
      <c r="B239" s="60" t="s">
        <v>426</v>
      </c>
      <c r="C239" s="61" t="s">
        <v>68</v>
      </c>
      <c r="D239" s="62">
        <v>2.9125045037575426</v>
      </c>
      <c r="E239" s="63" t="s">
        <v>82</v>
      </c>
      <c r="F239" s="21"/>
      <c r="G239" s="21"/>
    </row>
    <row r="240" spans="1:7" ht="33.75" x14ac:dyDescent="0.2">
      <c r="A240" s="59" t="s">
        <v>429</v>
      </c>
      <c r="B240" s="60" t="s">
        <v>426</v>
      </c>
      <c r="C240" s="61" t="s">
        <v>70</v>
      </c>
      <c r="D240" s="62">
        <v>3.5767599168952278</v>
      </c>
      <c r="E240" s="63" t="s">
        <v>82</v>
      </c>
      <c r="F240" s="21"/>
      <c r="G240" s="21"/>
    </row>
    <row r="241" spans="1:7" ht="33.75" x14ac:dyDescent="0.2">
      <c r="A241" s="59" t="s">
        <v>430</v>
      </c>
      <c r="B241" s="60" t="s">
        <v>426</v>
      </c>
      <c r="C241" s="61" t="s">
        <v>72</v>
      </c>
      <c r="D241" s="62">
        <v>7.1177738857105854</v>
      </c>
      <c r="E241" s="63" t="s">
        <v>82</v>
      </c>
      <c r="F241" s="21"/>
      <c r="G241" s="21"/>
    </row>
    <row r="242" spans="1:7" x14ac:dyDescent="0.2">
      <c r="A242" s="59" t="s">
        <v>431</v>
      </c>
      <c r="B242" s="60" t="s">
        <v>432</v>
      </c>
      <c r="C242" s="61"/>
      <c r="D242" s="62" t="s">
        <v>64</v>
      </c>
      <c r="E242" s="63" t="s">
        <v>82</v>
      </c>
      <c r="F242" s="21"/>
      <c r="G242" s="21"/>
    </row>
    <row r="243" spans="1:7" x14ac:dyDescent="0.2">
      <c r="A243" s="59" t="s">
        <v>433</v>
      </c>
      <c r="B243" s="60" t="s">
        <v>432</v>
      </c>
      <c r="C243" s="61" t="s">
        <v>434</v>
      </c>
      <c r="D243" s="62">
        <v>0.91973826434448702</v>
      </c>
      <c r="E243" s="63" t="s">
        <v>82</v>
      </c>
      <c r="F243" s="21"/>
      <c r="G243" s="21"/>
    </row>
    <row r="244" spans="1:7" x14ac:dyDescent="0.2">
      <c r="A244" s="59" t="s">
        <v>435</v>
      </c>
      <c r="B244" s="60" t="s">
        <v>432</v>
      </c>
      <c r="C244" s="61" t="s">
        <v>436</v>
      </c>
      <c r="D244" s="62">
        <v>1.3285108262753702</v>
      </c>
      <c r="E244" s="63" t="s">
        <v>82</v>
      </c>
      <c r="F244" s="21"/>
      <c r="G244" s="21"/>
    </row>
    <row r="245" spans="1:7" x14ac:dyDescent="0.2">
      <c r="A245" s="59" t="s">
        <v>437</v>
      </c>
      <c r="B245" s="60" t="s">
        <v>432</v>
      </c>
      <c r="C245" s="61" t="s">
        <v>438</v>
      </c>
      <c r="D245" s="62">
        <v>1.6861868179648924</v>
      </c>
      <c r="E245" s="63" t="s">
        <v>82</v>
      </c>
      <c r="F245" s="21"/>
      <c r="G245" s="21"/>
    </row>
    <row r="246" spans="1:7" x14ac:dyDescent="0.2">
      <c r="A246" s="59" t="s">
        <v>439</v>
      </c>
      <c r="B246" s="60" t="s">
        <v>440</v>
      </c>
      <c r="C246" s="61"/>
      <c r="D246" s="62" t="s">
        <v>64</v>
      </c>
      <c r="E246" s="63" t="s">
        <v>441</v>
      </c>
      <c r="F246" s="21"/>
      <c r="G246" s="21"/>
    </row>
    <row r="247" spans="1:7" x14ac:dyDescent="0.2">
      <c r="A247" s="59" t="s">
        <v>442</v>
      </c>
      <c r="B247" s="60" t="s">
        <v>440</v>
      </c>
      <c r="C247" s="61" t="s">
        <v>443</v>
      </c>
      <c r="D247" s="62">
        <v>255.48285120680194</v>
      </c>
      <c r="E247" s="63" t="s">
        <v>441</v>
      </c>
      <c r="F247" s="21"/>
      <c r="G247" s="21"/>
    </row>
    <row r="248" spans="1:7" x14ac:dyDescent="0.2">
      <c r="A248" s="59" t="s">
        <v>444</v>
      </c>
      <c r="B248" s="60" t="s">
        <v>440</v>
      </c>
      <c r="C248" s="61" t="s">
        <v>445</v>
      </c>
      <c r="D248" s="62">
        <v>510.96570241360388</v>
      </c>
      <c r="E248" s="63" t="s">
        <v>441</v>
      </c>
      <c r="F248" s="21"/>
      <c r="G248" s="21"/>
    </row>
    <row r="249" spans="1:7" ht="22.5" x14ac:dyDescent="0.2">
      <c r="A249" s="59" t="s">
        <v>446</v>
      </c>
      <c r="B249" s="60" t="s">
        <v>447</v>
      </c>
      <c r="C249" s="61"/>
      <c r="D249" s="62">
        <v>1.7372833882062526</v>
      </c>
      <c r="E249" s="63" t="s">
        <v>82</v>
      </c>
      <c r="F249" s="21"/>
      <c r="G249" s="21"/>
    </row>
    <row r="250" spans="1:7" ht="22.5" x14ac:dyDescent="0.2">
      <c r="A250" s="59" t="s">
        <v>448</v>
      </c>
      <c r="B250" s="60" t="s">
        <v>449</v>
      </c>
      <c r="C250" s="61"/>
      <c r="D250" s="62">
        <v>0.91973826434448702</v>
      </c>
      <c r="E250" s="63" t="s">
        <v>82</v>
      </c>
      <c r="F250" s="21"/>
      <c r="G250" s="21"/>
    </row>
    <row r="251" spans="1:7" x14ac:dyDescent="0.2">
      <c r="A251" s="59" t="s">
        <v>450</v>
      </c>
      <c r="B251" s="60" t="s">
        <v>451</v>
      </c>
      <c r="C251" s="61"/>
      <c r="D251" s="62">
        <v>510.96570241360388</v>
      </c>
      <c r="E251" s="63" t="s">
        <v>441</v>
      </c>
      <c r="F251" s="21"/>
      <c r="G251" s="21"/>
    </row>
    <row r="252" spans="1:7" ht="22.5" x14ac:dyDescent="0.2">
      <c r="A252" s="59" t="s">
        <v>452</v>
      </c>
      <c r="B252" s="60" t="s">
        <v>453</v>
      </c>
      <c r="C252" s="61"/>
      <c r="D252" s="62">
        <v>4.0877256193088307</v>
      </c>
      <c r="E252" s="63" t="s">
        <v>82</v>
      </c>
      <c r="F252" s="21"/>
      <c r="G252" s="21"/>
    </row>
    <row r="253" spans="1:7" ht="22.5" x14ac:dyDescent="0.2">
      <c r="A253" s="59" t="s">
        <v>454</v>
      </c>
      <c r="B253" s="60" t="s">
        <v>455</v>
      </c>
      <c r="C253" s="61"/>
      <c r="D253" s="62">
        <v>2.8614079335161815</v>
      </c>
      <c r="E253" s="63" t="s">
        <v>82</v>
      </c>
      <c r="F253" s="21"/>
      <c r="G253" s="21"/>
    </row>
    <row r="254" spans="1:7" x14ac:dyDescent="0.2">
      <c r="A254" s="59" t="s">
        <v>456</v>
      </c>
      <c r="B254" s="60" t="s">
        <v>457</v>
      </c>
      <c r="C254" s="61"/>
      <c r="D254" s="62">
        <v>8.6864169410312648</v>
      </c>
      <c r="E254" s="63" t="s">
        <v>101</v>
      </c>
      <c r="F254" s="21"/>
      <c r="G254" s="21"/>
    </row>
    <row r="255" spans="1:7" x14ac:dyDescent="0.2">
      <c r="A255" s="59" t="s">
        <v>458</v>
      </c>
      <c r="B255" s="60" t="s">
        <v>459</v>
      </c>
      <c r="C255" s="61"/>
      <c r="D255" s="62">
        <v>0.64087223692553696</v>
      </c>
      <c r="E255" s="63" t="s">
        <v>82</v>
      </c>
      <c r="F255" s="21"/>
      <c r="G255" s="21"/>
    </row>
    <row r="256" spans="1:7" x14ac:dyDescent="0.2">
      <c r="A256" s="59" t="s">
        <v>460</v>
      </c>
      <c r="B256" s="60" t="s">
        <v>461</v>
      </c>
      <c r="C256" s="61" t="s">
        <v>66</v>
      </c>
      <c r="D256" s="62">
        <v>0.64087223692553696</v>
      </c>
      <c r="E256" s="63" t="s">
        <v>82</v>
      </c>
      <c r="F256" s="21"/>
      <c r="G256" s="21"/>
    </row>
    <row r="257" spans="1:7" ht="22.5" x14ac:dyDescent="0.2">
      <c r="A257" s="65" t="s">
        <v>462</v>
      </c>
      <c r="B257" s="66" t="s">
        <v>463</v>
      </c>
      <c r="C257" s="61"/>
      <c r="D257" s="62" t="s">
        <v>76</v>
      </c>
      <c r="E257" s="63"/>
      <c r="F257" s="21"/>
      <c r="G257" s="21"/>
    </row>
    <row r="258" spans="1:7" ht="33.75" x14ac:dyDescent="0.2">
      <c r="A258" s="65" t="s">
        <v>464</v>
      </c>
      <c r="B258" s="66" t="s">
        <v>465</v>
      </c>
      <c r="C258" s="61"/>
      <c r="D258" s="62" t="s">
        <v>76</v>
      </c>
      <c r="E258" s="63"/>
      <c r="F258" s="21"/>
      <c r="G258" s="21"/>
    </row>
    <row r="259" spans="1:7" ht="33.75" x14ac:dyDescent="0.2">
      <c r="A259" s="65" t="s">
        <v>466</v>
      </c>
      <c r="B259" s="66" t="s">
        <v>467</v>
      </c>
      <c r="C259" s="61"/>
      <c r="D259" s="62" t="s">
        <v>76</v>
      </c>
      <c r="E259" s="63"/>
      <c r="F259" s="21"/>
      <c r="G259" s="21"/>
    </row>
    <row r="260" spans="1:7" ht="22.5" x14ac:dyDescent="0.2">
      <c r="A260" s="65" t="s">
        <v>468</v>
      </c>
      <c r="B260" s="66" t="s">
        <v>469</v>
      </c>
      <c r="C260" s="61"/>
      <c r="D260" s="62" t="s">
        <v>76</v>
      </c>
      <c r="E260" s="63"/>
      <c r="F260" s="21"/>
      <c r="G260" s="21"/>
    </row>
    <row r="261" spans="1:7" x14ac:dyDescent="0.2">
      <c r="A261" s="65" t="s">
        <v>470</v>
      </c>
      <c r="B261" s="66" t="s">
        <v>471</v>
      </c>
      <c r="C261" s="61"/>
      <c r="D261" s="62" t="s">
        <v>76</v>
      </c>
      <c r="E261" s="63"/>
      <c r="F261" s="21"/>
      <c r="G261" s="21"/>
    </row>
    <row r="262" spans="1:7" x14ac:dyDescent="0.2">
      <c r="A262" s="65" t="s">
        <v>472</v>
      </c>
      <c r="B262" s="66" t="s">
        <v>473</v>
      </c>
      <c r="C262" s="61"/>
      <c r="D262" s="62">
        <v>34.622540861999994</v>
      </c>
      <c r="E262" s="63" t="s">
        <v>82</v>
      </c>
      <c r="F262" s="21"/>
      <c r="G262" s="21"/>
    </row>
    <row r="263" spans="1:7" x14ac:dyDescent="0.2">
      <c r="A263" s="65" t="s">
        <v>474</v>
      </c>
      <c r="B263" s="66" t="s">
        <v>475</v>
      </c>
      <c r="C263" s="61"/>
      <c r="D263" s="62">
        <v>22255.757999999998</v>
      </c>
      <c r="E263" s="63" t="s">
        <v>379</v>
      </c>
      <c r="F263" s="21"/>
      <c r="G263" s="21"/>
    </row>
    <row r="264" spans="1:7" x14ac:dyDescent="0.2">
      <c r="A264" s="65" t="s">
        <v>476</v>
      </c>
      <c r="B264" s="66" t="s">
        <v>477</v>
      </c>
      <c r="C264" s="61"/>
      <c r="D264" s="62">
        <v>6676.7273999999989</v>
      </c>
      <c r="E264" s="63" t="s">
        <v>379</v>
      </c>
      <c r="F264" s="21"/>
      <c r="G264" s="21"/>
    </row>
    <row r="265" spans="1:7" ht="22.5" x14ac:dyDescent="0.2">
      <c r="A265" s="65" t="s">
        <v>478</v>
      </c>
      <c r="B265" s="66" t="s">
        <v>479</v>
      </c>
      <c r="C265" s="61"/>
      <c r="D265" s="62">
        <v>14837.171999999999</v>
      </c>
      <c r="E265" s="63" t="s">
        <v>379</v>
      </c>
      <c r="F265" s="21"/>
      <c r="G265" s="21"/>
    </row>
    <row r="266" spans="1:7" x14ac:dyDescent="0.2">
      <c r="A266" s="65" t="s">
        <v>480</v>
      </c>
      <c r="B266" s="66" t="s">
        <v>481</v>
      </c>
      <c r="C266" s="61"/>
      <c r="D266" s="62">
        <v>741.85859999999991</v>
      </c>
      <c r="E266" s="63" t="s">
        <v>379</v>
      </c>
      <c r="F266" s="21"/>
      <c r="G266" s="21"/>
    </row>
    <row r="267" spans="1:7" ht="22.5" x14ac:dyDescent="0.2">
      <c r="A267" s="65" t="s">
        <v>482</v>
      </c>
      <c r="B267" s="66" t="s">
        <v>483</v>
      </c>
      <c r="C267" s="61"/>
      <c r="D267" s="62">
        <v>4.3398728099999992</v>
      </c>
      <c r="E267" s="63" t="s">
        <v>101</v>
      </c>
      <c r="F267" s="21"/>
      <c r="G267" s="21"/>
    </row>
    <row r="268" spans="1:7" x14ac:dyDescent="0.2">
      <c r="A268" s="65" t="s">
        <v>484</v>
      </c>
      <c r="B268" s="66" t="s">
        <v>485</v>
      </c>
      <c r="C268" s="61"/>
      <c r="D268" s="62">
        <v>63.057980999999998</v>
      </c>
      <c r="E268" s="63" t="s">
        <v>486</v>
      </c>
      <c r="F268" s="21"/>
      <c r="G268" s="21"/>
    </row>
    <row r="269" spans="1:7" x14ac:dyDescent="0.2">
      <c r="A269" s="65" t="s">
        <v>487</v>
      </c>
      <c r="B269" s="66" t="s">
        <v>488</v>
      </c>
      <c r="C269" s="61"/>
      <c r="D269" s="62">
        <v>3227.0849099999996</v>
      </c>
      <c r="E269" s="63" t="s">
        <v>441</v>
      </c>
      <c r="F269" s="21"/>
      <c r="G269" s="21"/>
    </row>
    <row r="270" spans="1:7" ht="22.5" x14ac:dyDescent="0.2">
      <c r="A270" s="65" t="s">
        <v>489</v>
      </c>
      <c r="B270" s="66" t="s">
        <v>490</v>
      </c>
      <c r="C270" s="61"/>
      <c r="D270" s="62">
        <v>85.313738999999984</v>
      </c>
      <c r="E270" s="63" t="s">
        <v>491</v>
      </c>
      <c r="F270" s="21"/>
      <c r="G270" s="21"/>
    </row>
    <row r="271" spans="1:7" x14ac:dyDescent="0.2">
      <c r="A271" s="65" t="s">
        <v>492</v>
      </c>
      <c r="B271" s="66" t="s">
        <v>493</v>
      </c>
      <c r="C271" s="61"/>
      <c r="D271" s="62">
        <v>3412.5495599999995</v>
      </c>
      <c r="E271" s="63" t="s">
        <v>47</v>
      </c>
      <c r="F271" s="21"/>
      <c r="G271" s="21"/>
    </row>
    <row r="272" spans="1:7" x14ac:dyDescent="0.2">
      <c r="A272" s="65" t="s">
        <v>494</v>
      </c>
      <c r="B272" s="66" t="s">
        <v>495</v>
      </c>
      <c r="C272" s="61"/>
      <c r="D272" s="67">
        <v>204862.76867279998</v>
      </c>
      <c r="E272" s="63" t="s">
        <v>379</v>
      </c>
      <c r="F272" s="21"/>
      <c r="G272" s="21"/>
    </row>
    <row r="273" spans="1:7" x14ac:dyDescent="0.2">
      <c r="A273" s="65" t="s">
        <v>496</v>
      </c>
      <c r="B273" s="66" t="s">
        <v>497</v>
      </c>
      <c r="C273" s="61"/>
      <c r="D273" s="62">
        <v>24.370055009999998</v>
      </c>
      <c r="E273" s="63" t="s">
        <v>38</v>
      </c>
      <c r="F273" s="21"/>
      <c r="G273" s="21"/>
    </row>
    <row r="274" spans="1:7" x14ac:dyDescent="0.2">
      <c r="A274" s="65" t="s">
        <v>498</v>
      </c>
      <c r="B274" s="66" t="s">
        <v>499</v>
      </c>
      <c r="C274" s="61"/>
      <c r="D274" s="62">
        <v>6.5283556799999998</v>
      </c>
      <c r="E274" s="63" t="s">
        <v>38</v>
      </c>
      <c r="F274" s="21"/>
      <c r="G274" s="21"/>
    </row>
    <row r="275" spans="1:7" x14ac:dyDescent="0.2">
      <c r="A275" s="65" t="s">
        <v>500</v>
      </c>
      <c r="B275" s="66" t="s">
        <v>501</v>
      </c>
      <c r="C275" s="61"/>
      <c r="D275" s="62">
        <v>14.837171999999999</v>
      </c>
      <c r="E275" s="63" t="s">
        <v>101</v>
      </c>
      <c r="F275" s="21"/>
      <c r="G275" s="21"/>
    </row>
    <row r="276" spans="1:7" x14ac:dyDescent="0.2">
      <c r="A276" s="65" t="s">
        <v>502</v>
      </c>
      <c r="B276" s="66" t="s">
        <v>503</v>
      </c>
      <c r="C276" s="61"/>
      <c r="D276" s="62">
        <v>25965.050999999992</v>
      </c>
      <c r="E276" s="63" t="s">
        <v>47</v>
      </c>
      <c r="F276" s="21"/>
      <c r="G276" s="21"/>
    </row>
    <row r="277" spans="1:7" ht="22.5" x14ac:dyDescent="0.2">
      <c r="A277" s="65" t="s">
        <v>504</v>
      </c>
      <c r="B277" s="66" t="s">
        <v>505</v>
      </c>
      <c r="C277" s="61"/>
      <c r="D277" s="62" t="s">
        <v>76</v>
      </c>
      <c r="E277" s="63"/>
      <c r="F277" s="21"/>
      <c r="G277" s="21"/>
    </row>
    <row r="278" spans="1:7" x14ac:dyDescent="0.2">
      <c r="A278" s="65" t="s">
        <v>506</v>
      </c>
      <c r="B278" s="66" t="s">
        <v>507</v>
      </c>
      <c r="C278" s="61"/>
      <c r="D278" s="62">
        <v>7.6999999999999993</v>
      </c>
      <c r="E278" s="63" t="s">
        <v>379</v>
      </c>
      <c r="F278" s="21"/>
    </row>
    <row r="279" spans="1:7" x14ac:dyDescent="0.2">
      <c r="A279" s="65" t="s">
        <v>508</v>
      </c>
      <c r="B279" s="66" t="s">
        <v>509</v>
      </c>
      <c r="C279" s="61"/>
      <c r="D279" s="62">
        <v>154</v>
      </c>
      <c r="E279" s="63" t="s">
        <v>379</v>
      </c>
      <c r="F279" s="21"/>
    </row>
    <row r="280" spans="1:7" x14ac:dyDescent="0.2">
      <c r="A280" s="65" t="s">
        <v>510</v>
      </c>
      <c r="B280" s="66" t="s">
        <v>511</v>
      </c>
      <c r="C280" s="61"/>
      <c r="D280" s="62">
        <v>2100</v>
      </c>
      <c r="E280" s="63" t="s">
        <v>379</v>
      </c>
      <c r="F280" s="21"/>
    </row>
  </sheetData>
  <sheetProtection algorithmName="SHA-512" hashValue="QjovmFLnPPOiaFBDdTsSXRCywy+ftLnBUc+jT9PABI0CuwvrFF3TQFBz4JbwhLP2mp3NMCKEy+g1wZQjP8UStg==" saltValue="ZDBAgxvFUGSloXxh8oNXrw==" spinCount="100000" sheet="1" deleteColumns="0" selectLockedCells="1"/>
  <mergeCells count="5">
    <mergeCell ref="A2:A3"/>
    <mergeCell ref="B2:B3"/>
    <mergeCell ref="C2:C3"/>
    <mergeCell ref="D2:D3"/>
    <mergeCell ref="E2:E3"/>
  </mergeCells>
  <conditionalFormatting sqref="A4:E280">
    <cfRule type="expression" dxfId="118" priority="7" stopIfTrue="1">
      <formula>#REF!=FALSE</formula>
    </cfRule>
  </conditionalFormatting>
  <pageMargins left="0.75" right="0.75" top="1" bottom="1" header="0.5" footer="0.5"/>
  <pageSetup paperSize="9" scale="24" fitToWidth="2" fitToHeight="2" orientation="portrait" r:id="rId1"/>
  <headerFooter alignWithMargins="0">
    <oddFooter>&amp;C_x000D_&amp;1#&amp;"Calibri"&amp;12&amp;K000000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E97AE-BBF8-43EB-A88D-05ABD5D6FB01}">
  <sheetPr codeName="Sheet02"/>
  <dimension ref="A1:E65536"/>
  <sheetViews>
    <sheetView workbookViewId="0"/>
  </sheetViews>
  <sheetFormatPr defaultRowHeight="11.25" zeroHeight="1" x14ac:dyDescent="0.2"/>
  <cols>
    <col min="1" max="1" width="22.85546875" style="74" bestFit="1" customWidth="1"/>
    <col min="2" max="2" width="10" style="74" bestFit="1" customWidth="1"/>
    <col min="3" max="16384" width="9.140625" style="74"/>
  </cols>
  <sheetData>
    <row r="1" spans="1:4" s="2" customFormat="1" ht="23.25" thickBot="1" x14ac:dyDescent="0.25">
      <c r="A1" s="69" t="s">
        <v>512</v>
      </c>
      <c r="B1" s="70" t="s">
        <v>513</v>
      </c>
    </row>
    <row r="2" spans="1:4" s="2" customFormat="1" ht="12.75" x14ac:dyDescent="0.2">
      <c r="A2" s="71"/>
    </row>
    <row r="3" spans="1:4" x14ac:dyDescent="0.2">
      <c r="A3" s="72" t="s">
        <v>514</v>
      </c>
      <c r="B3" s="73">
        <v>1</v>
      </c>
      <c r="D3" s="72" t="s">
        <v>515</v>
      </c>
    </row>
    <row r="4" spans="1:4" x14ac:dyDescent="0.2">
      <c r="A4" s="75" t="s">
        <v>66</v>
      </c>
      <c r="B4" s="76">
        <v>2</v>
      </c>
      <c r="D4" s="77" t="s">
        <v>516</v>
      </c>
    </row>
    <row r="5" spans="1:4" x14ac:dyDescent="0.2">
      <c r="A5" s="75" t="s">
        <v>68</v>
      </c>
      <c r="B5" s="76">
        <v>3</v>
      </c>
    </row>
    <row r="6" spans="1:4" x14ac:dyDescent="0.2">
      <c r="A6" s="75" t="s">
        <v>517</v>
      </c>
      <c r="B6" s="76">
        <v>4</v>
      </c>
    </row>
    <row r="7" spans="1:4" x14ac:dyDescent="0.2">
      <c r="A7" s="77" t="s">
        <v>72</v>
      </c>
      <c r="B7" s="78">
        <v>5</v>
      </c>
    </row>
    <row r="8" spans="1:4" x14ac:dyDescent="0.2">
      <c r="A8" s="79"/>
    </row>
    <row r="9" spans="1:4" x14ac:dyDescent="0.2">
      <c r="A9" s="80" t="s">
        <v>518</v>
      </c>
      <c r="B9" s="81">
        <v>1</v>
      </c>
    </row>
    <row r="10" spans="1:4" x14ac:dyDescent="0.2">
      <c r="A10" s="82" t="s">
        <v>142</v>
      </c>
      <c r="B10" s="83">
        <v>2</v>
      </c>
    </row>
    <row r="11" spans="1:4" x14ac:dyDescent="0.2">
      <c r="A11" s="82" t="s">
        <v>144</v>
      </c>
      <c r="B11" s="83">
        <v>3</v>
      </c>
    </row>
    <row r="12" spans="1:4" x14ac:dyDescent="0.2">
      <c r="A12" s="82" t="s">
        <v>519</v>
      </c>
      <c r="B12" s="83">
        <v>4</v>
      </c>
    </row>
    <row r="13" spans="1:4" x14ac:dyDescent="0.2">
      <c r="A13" s="84" t="s">
        <v>520</v>
      </c>
      <c r="B13" s="85">
        <v>5</v>
      </c>
    </row>
    <row r="14" spans="1:4" x14ac:dyDescent="0.2">
      <c r="A14" s="79"/>
    </row>
    <row r="15" spans="1:4" x14ac:dyDescent="0.2">
      <c r="A15" s="72" t="s">
        <v>521</v>
      </c>
      <c r="B15" s="81">
        <v>1</v>
      </c>
    </row>
    <row r="16" spans="1:4" x14ac:dyDescent="0.2">
      <c r="A16" s="83" t="s">
        <v>210</v>
      </c>
      <c r="B16" s="83">
        <v>2</v>
      </c>
    </row>
    <row r="17" spans="1:5" x14ac:dyDescent="0.2">
      <c r="A17" s="83" t="s">
        <v>212</v>
      </c>
      <c r="B17" s="83">
        <v>3</v>
      </c>
    </row>
    <row r="18" spans="1:5" x14ac:dyDescent="0.2">
      <c r="A18" s="85" t="s">
        <v>214</v>
      </c>
      <c r="B18" s="85">
        <v>4</v>
      </c>
    </row>
    <row r="19" spans="1:5" x14ac:dyDescent="0.2">
      <c r="A19" s="79"/>
    </row>
    <row r="20" spans="1:5" x14ac:dyDescent="0.2">
      <c r="A20" s="72" t="s">
        <v>522</v>
      </c>
      <c r="B20" s="81">
        <v>1</v>
      </c>
    </row>
    <row r="21" spans="1:5" x14ac:dyDescent="0.2">
      <c r="A21" s="75" t="s">
        <v>295</v>
      </c>
      <c r="B21" s="83">
        <v>2</v>
      </c>
    </row>
    <row r="22" spans="1:5" x14ac:dyDescent="0.2">
      <c r="A22" s="75" t="s">
        <v>297</v>
      </c>
      <c r="B22" s="83">
        <v>3</v>
      </c>
    </row>
    <row r="23" spans="1:5" x14ac:dyDescent="0.2">
      <c r="A23" s="75" t="s">
        <v>299</v>
      </c>
      <c r="B23" s="83">
        <v>4</v>
      </c>
    </row>
    <row r="24" spans="1:5" x14ac:dyDescent="0.2">
      <c r="A24" s="77" t="s">
        <v>301</v>
      </c>
      <c r="B24" s="85">
        <v>5</v>
      </c>
    </row>
    <row r="25" spans="1:5" x14ac:dyDescent="0.2">
      <c r="A25" s="79"/>
    </row>
    <row r="26" spans="1:5" x14ac:dyDescent="0.2">
      <c r="A26" s="72" t="s">
        <v>523</v>
      </c>
      <c r="B26" s="81">
        <v>1</v>
      </c>
      <c r="E26" s="74" t="s">
        <v>524</v>
      </c>
    </row>
    <row r="27" spans="1:5" x14ac:dyDescent="0.2">
      <c r="A27" s="83" t="s">
        <v>525</v>
      </c>
      <c r="B27" s="83">
        <v>2</v>
      </c>
    </row>
    <row r="28" spans="1:5" x14ac:dyDescent="0.2">
      <c r="A28" s="83" t="s">
        <v>526</v>
      </c>
      <c r="B28" s="83">
        <v>3</v>
      </c>
    </row>
    <row r="29" spans="1:5" x14ac:dyDescent="0.2">
      <c r="A29" s="83" t="s">
        <v>527</v>
      </c>
      <c r="B29" s="83">
        <v>4</v>
      </c>
    </row>
    <row r="30" spans="1:5" x14ac:dyDescent="0.2">
      <c r="A30" s="85" t="s">
        <v>528</v>
      </c>
      <c r="B30" s="85">
        <v>5</v>
      </c>
    </row>
    <row r="31" spans="1:5" x14ac:dyDescent="0.2"/>
    <row r="32" spans="1:5" x14ac:dyDescent="0.2">
      <c r="A32" s="86" t="s">
        <v>529</v>
      </c>
      <c r="B32" s="81">
        <v>1</v>
      </c>
      <c r="E32" s="74" t="s">
        <v>530</v>
      </c>
    </row>
    <row r="33" spans="1:5" x14ac:dyDescent="0.2">
      <c r="A33" s="83" t="s">
        <v>531</v>
      </c>
      <c r="B33" s="83">
        <v>2</v>
      </c>
    </row>
    <row r="34" spans="1:5" x14ac:dyDescent="0.2">
      <c r="A34" s="85" t="s">
        <v>532</v>
      </c>
      <c r="B34" s="85">
        <v>3</v>
      </c>
    </row>
    <row r="35" spans="1:5" x14ac:dyDescent="0.2">
      <c r="A35" s="87"/>
    </row>
    <row r="36" spans="1:5" x14ac:dyDescent="0.2">
      <c r="A36" s="86" t="s">
        <v>533</v>
      </c>
      <c r="B36" s="81">
        <v>1</v>
      </c>
      <c r="E36" s="74" t="s">
        <v>530</v>
      </c>
    </row>
    <row r="37" spans="1:5" x14ac:dyDescent="0.2">
      <c r="A37" s="83" t="s">
        <v>531</v>
      </c>
      <c r="B37" s="83">
        <v>2</v>
      </c>
    </row>
    <row r="38" spans="1:5" x14ac:dyDescent="0.2">
      <c r="A38" s="85" t="s">
        <v>532</v>
      </c>
      <c r="B38" s="85">
        <v>3</v>
      </c>
    </row>
    <row r="39" spans="1:5" x14ac:dyDescent="0.2"/>
    <row r="40" spans="1:5" x14ac:dyDescent="0.2">
      <c r="A40" s="86" t="s">
        <v>534</v>
      </c>
      <c r="B40" s="81">
        <v>1</v>
      </c>
      <c r="E40" s="74" t="s">
        <v>530</v>
      </c>
    </row>
    <row r="41" spans="1:5" x14ac:dyDescent="0.2">
      <c r="A41" s="83" t="s">
        <v>531</v>
      </c>
      <c r="B41" s="83">
        <v>2</v>
      </c>
    </row>
    <row r="42" spans="1:5" x14ac:dyDescent="0.2">
      <c r="A42" s="85" t="s">
        <v>532</v>
      </c>
      <c r="B42" s="85">
        <v>3</v>
      </c>
    </row>
    <row r="43" spans="1:5" x14ac:dyDescent="0.2"/>
    <row r="44" spans="1:5" x14ac:dyDescent="0.2">
      <c r="A44" s="86" t="s">
        <v>523</v>
      </c>
      <c r="B44" s="81">
        <v>1</v>
      </c>
      <c r="E44" s="74" t="s">
        <v>535</v>
      </c>
    </row>
    <row r="45" spans="1:5" x14ac:dyDescent="0.2">
      <c r="A45" s="83" t="s">
        <v>531</v>
      </c>
      <c r="B45" s="83">
        <v>2</v>
      </c>
    </row>
    <row r="46" spans="1:5" x14ac:dyDescent="0.2">
      <c r="A46" s="85" t="s">
        <v>532</v>
      </c>
      <c r="B46" s="85">
        <v>3</v>
      </c>
    </row>
    <row r="47" spans="1:5" x14ac:dyDescent="0.2"/>
    <row r="48" spans="1:5" x14ac:dyDescent="0.2">
      <c r="A48" s="81" t="s">
        <v>536</v>
      </c>
      <c r="B48" s="81">
        <v>1</v>
      </c>
    </row>
    <row r="49" spans="1:2" x14ac:dyDescent="0.2">
      <c r="A49" s="83" t="s">
        <v>434</v>
      </c>
      <c r="B49" s="83">
        <v>2</v>
      </c>
    </row>
    <row r="50" spans="1:2" x14ac:dyDescent="0.2">
      <c r="A50" s="83" t="s">
        <v>436</v>
      </c>
      <c r="B50" s="83">
        <v>3</v>
      </c>
    </row>
    <row r="51" spans="1:2" x14ac:dyDescent="0.2">
      <c r="A51" s="85" t="s">
        <v>438</v>
      </c>
      <c r="B51" s="85">
        <v>4</v>
      </c>
    </row>
    <row r="52" spans="1:2" x14ac:dyDescent="0.2"/>
    <row r="53" spans="1:2" x14ac:dyDescent="0.2">
      <c r="A53" s="81" t="s">
        <v>537</v>
      </c>
      <c r="B53" s="81">
        <v>1</v>
      </c>
    </row>
    <row r="54" spans="1:2" x14ac:dyDescent="0.2">
      <c r="A54" s="83" t="s">
        <v>538</v>
      </c>
      <c r="B54" s="83">
        <v>2</v>
      </c>
    </row>
    <row r="55" spans="1:2" x14ac:dyDescent="0.2">
      <c r="A55" s="85" t="s">
        <v>539</v>
      </c>
      <c r="B55" s="85">
        <v>3</v>
      </c>
    </row>
    <row r="56" spans="1:2" x14ac:dyDescent="0.2"/>
    <row r="57" spans="1:2" x14ac:dyDescent="0.2"/>
    <row r="58" spans="1:2" x14ac:dyDescent="0.2"/>
    <row r="59" spans="1:2" x14ac:dyDescent="0.2"/>
    <row r="60" spans="1:2" x14ac:dyDescent="0.2"/>
    <row r="61" spans="1:2" x14ac:dyDescent="0.2"/>
    <row r="62" spans="1:2" x14ac:dyDescent="0.2"/>
    <row r="63" spans="1:2" x14ac:dyDescent="0.2"/>
    <row r="64" spans="1:2"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pageMargins left="0.75" right="0.75" top="1" bottom="1" header="0.5" footer="0.5"/>
  <pageSetup paperSize="9" orientation="portrait" r:id="rId1"/>
  <headerFooter alignWithMargins="0">
    <oddFooter>&amp;C_x000D_&amp;1#&amp;"Calibri"&amp;12&amp;K000000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F307-C067-4DC5-B47C-FB75D6DE367E}">
  <sheetPr codeName="Sheet19"/>
  <dimension ref="A1:AO86"/>
  <sheetViews>
    <sheetView tabSelected="1" workbookViewId="0">
      <selection activeCell="F8" sqref="F8:I8"/>
    </sheetView>
  </sheetViews>
  <sheetFormatPr defaultColWidth="0" defaultRowHeight="0" customHeight="1" zeroHeight="1" x14ac:dyDescent="0.25"/>
  <cols>
    <col min="1" max="2" width="2.42578125" style="2" customWidth="1"/>
    <col min="3" max="3" width="25.85546875" style="2" customWidth="1"/>
    <col min="4" max="4" width="33.7109375" style="2" customWidth="1"/>
    <col min="5" max="5" width="9" style="2" customWidth="1"/>
    <col min="6" max="6" width="7.42578125" style="2" customWidth="1"/>
    <col min="7" max="7" width="5.7109375" style="2" customWidth="1"/>
    <col min="8" max="9" width="11.140625" style="2" customWidth="1"/>
    <col min="10" max="10" width="15.7109375" style="2" customWidth="1"/>
    <col min="11" max="11" width="28.7109375" style="2" customWidth="1"/>
    <col min="12" max="12" width="40.140625" customWidth="1"/>
    <col min="13" max="13" width="2.140625" style="2" customWidth="1"/>
    <col min="14" max="14" width="2.42578125" style="1" customWidth="1"/>
    <col min="15" max="15" width="4.5703125" style="2" hidden="1" customWidth="1"/>
    <col min="16" max="16" width="4.5703125" style="249" hidden="1" customWidth="1"/>
    <col min="17" max="17" width="4.5703125" style="2" hidden="1" customWidth="1"/>
    <col min="18" max="18" width="2.42578125" style="1" hidden="1" customWidth="1"/>
    <col min="19" max="16384" width="8.85546875" style="2" hidden="1"/>
  </cols>
  <sheetData>
    <row r="1" spans="1:19" ht="15" x14ac:dyDescent="0.25">
      <c r="A1" s="1"/>
      <c r="B1" s="1"/>
      <c r="C1" s="1"/>
      <c r="D1" s="1"/>
      <c r="E1" s="1"/>
      <c r="F1" s="1"/>
      <c r="G1" s="1"/>
      <c r="H1" s="1"/>
      <c r="I1" s="1"/>
      <c r="J1" s="1"/>
      <c r="K1" s="1"/>
      <c r="L1" s="457"/>
      <c r="M1" s="1"/>
      <c r="O1" s="1"/>
      <c r="P1" s="88"/>
      <c r="Q1" s="1"/>
    </row>
    <row r="2" spans="1:19" ht="15" x14ac:dyDescent="0.25">
      <c r="A2" s="1"/>
      <c r="B2" s="3"/>
      <c r="C2" s="4"/>
      <c r="D2" s="4"/>
      <c r="E2" s="4"/>
      <c r="F2" s="4"/>
      <c r="G2" s="4"/>
      <c r="H2" s="4"/>
      <c r="I2" s="4"/>
      <c r="J2" s="4"/>
      <c r="K2" s="4"/>
      <c r="L2" s="458"/>
      <c r="M2" s="5"/>
      <c r="O2" s="1"/>
      <c r="P2" s="88"/>
      <c r="Q2" s="1"/>
    </row>
    <row r="3" spans="1:19" ht="23.25" thickBot="1" x14ac:dyDescent="0.25">
      <c r="A3" s="1"/>
      <c r="B3" s="6"/>
      <c r="C3" s="639" t="s">
        <v>540</v>
      </c>
      <c r="D3" s="639"/>
      <c r="E3" s="639"/>
      <c r="F3" s="639"/>
      <c r="G3" s="639"/>
      <c r="H3" s="639"/>
      <c r="I3" s="639"/>
      <c r="J3" s="639"/>
      <c r="K3" s="639"/>
      <c r="L3" s="639"/>
      <c r="M3" s="7"/>
      <c r="O3" s="1"/>
      <c r="P3" s="88"/>
      <c r="Q3" s="1"/>
    </row>
    <row r="4" spans="1:19" ht="22.5" customHeight="1" x14ac:dyDescent="0.2">
      <c r="A4" s="1"/>
      <c r="B4" s="6"/>
      <c r="C4" s="89" t="s">
        <v>541</v>
      </c>
      <c r="D4" s="90"/>
      <c r="E4" s="90"/>
      <c r="F4" s="91"/>
      <c r="G4" s="91"/>
      <c r="H4" s="92"/>
      <c r="I4" s="92"/>
      <c r="J4" s="92"/>
      <c r="K4" s="93" t="s">
        <v>542</v>
      </c>
      <c r="L4" s="463">
        <f>Total_Liability</f>
        <v>3235.6385328442129</v>
      </c>
      <c r="M4" s="7"/>
      <c r="O4" s="1"/>
      <c r="P4" s="1"/>
      <c r="Q4" s="1"/>
    </row>
    <row r="5" spans="1:19" ht="12.75" customHeight="1" x14ac:dyDescent="0.2">
      <c r="A5" s="94"/>
      <c r="B5" s="95"/>
      <c r="C5" s="96"/>
      <c r="D5" s="97"/>
      <c r="E5" s="97"/>
      <c r="F5" s="98"/>
      <c r="G5" s="98"/>
      <c r="H5" s="99"/>
      <c r="I5" s="99"/>
      <c r="J5" s="99"/>
      <c r="K5" s="100" t="s">
        <v>543</v>
      </c>
      <c r="L5" s="464">
        <f>J83</f>
        <v>2588.5108262753702</v>
      </c>
      <c r="M5" s="101"/>
      <c r="N5" s="102"/>
      <c r="O5" s="94"/>
      <c r="P5" s="94"/>
      <c r="Q5" s="94"/>
    </row>
    <row r="6" spans="1:19" ht="12.75" customHeight="1" x14ac:dyDescent="0.25">
      <c r="A6" s="103"/>
      <c r="B6" s="104"/>
      <c r="C6" s="105"/>
      <c r="D6" s="106"/>
      <c r="E6" s="106"/>
      <c r="G6" s="107"/>
      <c r="H6" s="107"/>
      <c r="J6" s="108"/>
      <c r="K6" s="1"/>
      <c r="L6" s="457"/>
      <c r="M6" s="109"/>
      <c r="N6" s="16"/>
      <c r="O6" s="110"/>
      <c r="P6" s="103"/>
      <c r="Q6" s="110"/>
    </row>
    <row r="7" spans="1:19" ht="12.75" customHeight="1" thickBot="1" x14ac:dyDescent="0.25">
      <c r="A7" s="110"/>
      <c r="B7" s="111"/>
      <c r="C7" s="112" t="s">
        <v>544</v>
      </c>
      <c r="D7" s="97"/>
      <c r="E7" s="97"/>
      <c r="F7" s="112"/>
      <c r="G7" s="98"/>
      <c r="H7" s="107"/>
      <c r="I7" s="1"/>
      <c r="J7" s="1"/>
      <c r="K7" s="1"/>
      <c r="L7" s="465" t="s">
        <v>545</v>
      </c>
      <c r="M7" s="113"/>
      <c r="N7" s="102"/>
      <c r="O7" s="110"/>
      <c r="P7" s="110"/>
      <c r="Q7" s="110"/>
    </row>
    <row r="8" spans="1:19" ht="12.75" customHeight="1" x14ac:dyDescent="0.2">
      <c r="A8" s="94"/>
      <c r="B8" s="95"/>
      <c r="C8" s="640"/>
      <c r="D8" s="641"/>
      <c r="E8" s="114"/>
      <c r="F8" s="646"/>
      <c r="G8" s="646"/>
      <c r="H8" s="646"/>
      <c r="I8" s="646"/>
      <c r="J8" s="647"/>
      <c r="K8" s="647"/>
      <c r="L8" s="466" t="s">
        <v>546</v>
      </c>
      <c r="M8" s="101"/>
      <c r="N8" s="16"/>
      <c r="O8" s="94"/>
      <c r="P8" s="94"/>
      <c r="Q8" s="94"/>
    </row>
    <row r="9" spans="1:19" ht="12.75" customHeight="1" x14ac:dyDescent="0.2">
      <c r="A9" s="94"/>
      <c r="B9" s="95"/>
      <c r="C9" s="642"/>
      <c r="D9" s="643"/>
      <c r="E9" s="114"/>
      <c r="F9" s="646"/>
      <c r="G9" s="646"/>
      <c r="H9" s="646"/>
      <c r="I9" s="646"/>
      <c r="J9" s="648"/>
      <c r="K9" s="648"/>
      <c r="L9" s="467" t="s">
        <v>547</v>
      </c>
      <c r="M9" s="101"/>
      <c r="N9" s="16"/>
      <c r="O9" s="94"/>
      <c r="P9" s="94"/>
      <c r="Q9" s="94"/>
    </row>
    <row r="10" spans="1:19" ht="12.75" customHeight="1" x14ac:dyDescent="0.2">
      <c r="A10" s="94"/>
      <c r="B10" s="95"/>
      <c r="C10" s="642"/>
      <c r="D10" s="643"/>
      <c r="E10" s="114"/>
      <c r="F10" s="646"/>
      <c r="G10" s="646"/>
      <c r="H10" s="646"/>
      <c r="I10" s="646"/>
      <c r="J10" s="648"/>
      <c r="K10" s="648"/>
      <c r="L10" s="468" t="s">
        <v>548</v>
      </c>
      <c r="M10" s="101"/>
      <c r="N10" s="16"/>
      <c r="O10" s="94"/>
      <c r="P10" s="94"/>
      <c r="Q10" s="94"/>
    </row>
    <row r="11" spans="1:19" ht="12.75" customHeight="1" x14ac:dyDescent="0.2">
      <c r="A11" s="94"/>
      <c r="B11" s="95"/>
      <c r="C11" s="642"/>
      <c r="D11" s="643"/>
      <c r="E11" s="114"/>
      <c r="F11" s="646"/>
      <c r="G11" s="646"/>
      <c r="H11" s="646"/>
      <c r="I11" s="646"/>
      <c r="J11" s="648"/>
      <c r="K11" s="648"/>
      <c r="L11" s="469" t="s">
        <v>549</v>
      </c>
      <c r="M11" s="101"/>
      <c r="N11" s="102"/>
      <c r="O11" s="94"/>
      <c r="P11" s="94"/>
      <c r="Q11" s="94"/>
    </row>
    <row r="12" spans="1:19" ht="12.75" customHeight="1" thickBot="1" x14ac:dyDescent="0.25">
      <c r="A12" s="107"/>
      <c r="B12" s="117"/>
      <c r="C12" s="644"/>
      <c r="D12" s="645"/>
      <c r="E12" s="97"/>
      <c r="F12" s="98"/>
      <c r="G12" s="118"/>
      <c r="H12" s="119"/>
      <c r="I12" s="119"/>
      <c r="J12" s="99"/>
      <c r="K12" s="99"/>
      <c r="L12" s="470"/>
      <c r="M12" s="120"/>
      <c r="N12" s="102"/>
      <c r="O12" s="107"/>
      <c r="P12" s="107"/>
      <c r="Q12" s="107"/>
      <c r="S12" s="121"/>
    </row>
    <row r="13" spans="1:19" ht="12.75" customHeight="1" thickBot="1" x14ac:dyDescent="0.25">
      <c r="A13" s="1"/>
      <c r="B13" s="6"/>
      <c r="C13" s="122"/>
      <c r="D13" s="97"/>
      <c r="E13" s="98"/>
      <c r="F13" s="98"/>
      <c r="G13" s="119"/>
      <c r="H13" s="99"/>
      <c r="I13" s="107"/>
      <c r="J13" s="107"/>
      <c r="K13" s="123"/>
      <c r="L13" s="471"/>
      <c r="M13" s="7"/>
      <c r="O13" s="1"/>
      <c r="P13" s="88"/>
      <c r="Q13" s="1"/>
    </row>
    <row r="14" spans="1:19" ht="23.25" thickBot="1" x14ac:dyDescent="0.25">
      <c r="A14" s="1"/>
      <c r="B14" s="6"/>
      <c r="C14" s="124" t="s">
        <v>550</v>
      </c>
      <c r="D14" s="124" t="s">
        <v>551</v>
      </c>
      <c r="E14" s="125" t="s">
        <v>552</v>
      </c>
      <c r="F14" s="124" t="s">
        <v>553</v>
      </c>
      <c r="G14" s="124" t="s">
        <v>32</v>
      </c>
      <c r="H14" s="126" t="s">
        <v>554</v>
      </c>
      <c r="I14" s="126" t="s">
        <v>555</v>
      </c>
      <c r="J14" s="127" t="s">
        <v>556</v>
      </c>
      <c r="K14" s="128" t="s">
        <v>557</v>
      </c>
      <c r="L14" s="472" t="s">
        <v>558</v>
      </c>
      <c r="M14" s="7"/>
      <c r="O14" s="129" t="s">
        <v>559</v>
      </c>
      <c r="P14" s="129" t="s">
        <v>560</v>
      </c>
      <c r="Q14" s="129" t="s">
        <v>561</v>
      </c>
    </row>
    <row r="15" spans="1:19" ht="12.75" x14ac:dyDescent="0.2">
      <c r="A15" s="1"/>
      <c r="B15" s="6"/>
      <c r="C15" s="613" t="s">
        <v>562</v>
      </c>
      <c r="D15" s="130" t="str">
        <f>VLOOKUP($P15,TOV!$A$4:$E$65536,2,FALSE)</f>
        <v>Disconnect electricity supply</v>
      </c>
      <c r="E15" s="131" t="s">
        <v>515</v>
      </c>
      <c r="F15" s="132">
        <v>1</v>
      </c>
      <c r="G15" s="133" t="s">
        <v>35</v>
      </c>
      <c r="H15" s="134">
        <f>VLOOKUP($P15,TOV!$A$4:$E$65536,4,FALSE)</f>
        <v>630</v>
      </c>
      <c r="I15" s="135"/>
      <c r="J15" s="136">
        <f t="shared" ref="J15:J71" si="0">IF($E15="Y",IF(I15=0,F15*H15,F15*I15),"")</f>
        <v>630</v>
      </c>
      <c r="K15" s="137"/>
      <c r="L15" s="473" t="s">
        <v>563</v>
      </c>
      <c r="M15" s="7"/>
      <c r="O15" s="138">
        <f t="shared" ref="O15:O80" si="1">IF(I15="",0,1)</f>
        <v>0</v>
      </c>
      <c r="P15" s="139" t="s">
        <v>223</v>
      </c>
      <c r="Q15" s="140"/>
    </row>
    <row r="16" spans="1:19" ht="12.75" x14ac:dyDescent="0.2">
      <c r="A16" s="1"/>
      <c r="B16" s="6"/>
      <c r="C16" s="614"/>
      <c r="D16" s="130" t="str">
        <f>VLOOKUP($P16,TOV!$A$4:$E$65536,2,FALSE)</f>
        <v>Disconnection of gas supply</v>
      </c>
      <c r="E16" s="141" t="s">
        <v>515</v>
      </c>
      <c r="F16" s="142"/>
      <c r="G16" s="143" t="s">
        <v>35</v>
      </c>
      <c r="H16" s="134">
        <f>VLOOKUP($P16,TOV!$A$4:$E$65536,4,FALSE)</f>
        <v>154</v>
      </c>
      <c r="I16" s="144"/>
      <c r="J16" s="136">
        <f t="shared" si="0"/>
        <v>0</v>
      </c>
      <c r="K16" s="137"/>
      <c r="L16" s="473" t="s">
        <v>564</v>
      </c>
      <c r="M16" s="7"/>
      <c r="O16" s="145"/>
      <c r="P16" s="146" t="s">
        <v>508</v>
      </c>
      <c r="Q16" s="147"/>
    </row>
    <row r="17" spans="1:17" ht="12.75" x14ac:dyDescent="0.2">
      <c r="A17" s="1"/>
      <c r="B17" s="6"/>
      <c r="C17" s="614"/>
      <c r="D17" s="130" t="str">
        <f>VLOOKUP($P17,TOV!$A$4:$E$65536,2,FALSE)</f>
        <v>Disconnection of water suply</v>
      </c>
      <c r="E17" s="141" t="s">
        <v>515</v>
      </c>
      <c r="F17" s="142"/>
      <c r="G17" s="143" t="s">
        <v>35</v>
      </c>
      <c r="H17" s="134">
        <f>VLOOKUP($P17,TOV!$A$4:$E$65536,4,FALSE)</f>
        <v>2100</v>
      </c>
      <c r="I17" s="144"/>
      <c r="J17" s="136">
        <f t="shared" si="0"/>
        <v>0</v>
      </c>
      <c r="K17" s="137"/>
      <c r="L17" s="473" t="s">
        <v>565</v>
      </c>
      <c r="M17" s="7"/>
      <c r="O17" s="145"/>
      <c r="P17" s="146" t="s">
        <v>510</v>
      </c>
      <c r="Q17" s="147"/>
    </row>
    <row r="18" spans="1:17" ht="27" x14ac:dyDescent="0.2">
      <c r="A18" s="1"/>
      <c r="B18" s="6"/>
      <c r="C18" s="614"/>
      <c r="D18" s="130" t="str">
        <f>VLOOKUP($P18,TOV!$A$4:$E$65536,2,FALSE)</f>
        <v>Demolish and remove small buildings / tanks</v>
      </c>
      <c r="E18" s="148" t="s">
        <v>515</v>
      </c>
      <c r="F18" s="142"/>
      <c r="G18" s="149" t="s">
        <v>135</v>
      </c>
      <c r="H18" s="134">
        <f>VLOOKUP($P18,TOV!$A$4:$E$65536,4,FALSE)</f>
        <v>71.535198337904546</v>
      </c>
      <c r="I18" s="150"/>
      <c r="J18" s="136">
        <f t="shared" si="0"/>
        <v>0</v>
      </c>
      <c r="K18" s="137"/>
      <c r="L18" s="474" t="s">
        <v>566</v>
      </c>
      <c r="M18" s="7"/>
      <c r="O18" s="151">
        <f t="shared" si="1"/>
        <v>0</v>
      </c>
      <c r="P18" s="152" t="s">
        <v>205</v>
      </c>
      <c r="Q18" s="153"/>
    </row>
    <row r="19" spans="1:17" ht="19.5" customHeight="1" x14ac:dyDescent="0.2">
      <c r="A19" s="1"/>
      <c r="B19" s="6"/>
      <c r="C19" s="614"/>
      <c r="D19" s="154" t="str">
        <f>VLOOKUP($P19,TOV!$A$4:$E$65536,2,FALSE)</f>
        <v>Empty and remove septic tank</v>
      </c>
      <c r="E19" s="148" t="s">
        <v>515</v>
      </c>
      <c r="F19" s="155"/>
      <c r="G19" s="149" t="s">
        <v>379</v>
      </c>
      <c r="H19" s="156">
        <f>VLOOKUP($P19,TOV!$A$4:$E$65536,4,FALSE)</f>
        <v>6676.7273999999989</v>
      </c>
      <c r="I19" s="150"/>
      <c r="J19" s="136">
        <f t="shared" si="0"/>
        <v>0</v>
      </c>
      <c r="K19" s="157"/>
      <c r="L19" s="475" t="s">
        <v>567</v>
      </c>
      <c r="M19" s="120"/>
      <c r="N19" s="158"/>
      <c r="O19" s="159"/>
      <c r="P19" s="160" t="s">
        <v>476</v>
      </c>
      <c r="Q19" s="153"/>
    </row>
    <row r="20" spans="1:17" ht="22.5" customHeight="1" x14ac:dyDescent="0.2">
      <c r="A20" s="1"/>
      <c r="B20" s="6"/>
      <c r="C20" s="614"/>
      <c r="D20" s="154" t="str">
        <f>VLOOKUP($P20,TOV!$A$4:$E$65536,2,FALSE)</f>
        <v>Demolish and remove weighbridge</v>
      </c>
      <c r="E20" s="148" t="s">
        <v>515</v>
      </c>
      <c r="F20" s="155"/>
      <c r="G20" s="161" t="s">
        <v>379</v>
      </c>
      <c r="H20" s="156">
        <f>VLOOKUP($P20,TOV!$A$4:$E$65536,4,FALSE)</f>
        <v>22255.757999999998</v>
      </c>
      <c r="I20" s="150"/>
      <c r="J20" s="136">
        <f t="shared" si="0"/>
        <v>0</v>
      </c>
      <c r="K20" s="157"/>
      <c r="L20" s="475" t="s">
        <v>568</v>
      </c>
      <c r="M20" s="162"/>
      <c r="N20" s="158"/>
      <c r="O20" s="159"/>
      <c r="P20" s="160" t="s">
        <v>474</v>
      </c>
      <c r="Q20" s="153"/>
    </row>
    <row r="21" spans="1:17" ht="22.5" x14ac:dyDescent="0.2">
      <c r="A21" s="1"/>
      <c r="B21" s="6"/>
      <c r="C21" s="614"/>
      <c r="D21" s="130" t="str">
        <f>VLOOKUP($P21,TOV!$A$4:$E$65536,2,FALSE)</f>
        <v xml:space="preserve">Demolish and remove industrial buildings such as workshops and large sheds </v>
      </c>
      <c r="E21" s="148" t="s">
        <v>515</v>
      </c>
      <c r="F21" s="142"/>
      <c r="G21" s="149" t="s">
        <v>135</v>
      </c>
      <c r="H21" s="134">
        <f>VLOOKUP($P21,TOV!$A$4:$E$65536,4,FALSE)</f>
        <v>163.50902477235323</v>
      </c>
      <c r="I21" s="150"/>
      <c r="J21" s="136">
        <f t="shared" si="0"/>
        <v>0</v>
      </c>
      <c r="K21" s="137"/>
      <c r="L21" s="474" t="s">
        <v>569</v>
      </c>
      <c r="M21" s="7"/>
      <c r="O21" s="151">
        <f t="shared" si="1"/>
        <v>0</v>
      </c>
      <c r="P21" s="152" t="s">
        <v>199</v>
      </c>
      <c r="Q21" s="153"/>
    </row>
    <row r="22" spans="1:17" ht="33.75" x14ac:dyDescent="0.2">
      <c r="A22" s="1"/>
      <c r="B22" s="6"/>
      <c r="C22" s="614"/>
      <c r="D22" s="130" t="str">
        <f>VLOOKUP($P22,TOV!$A$4:$E$65536,2,FALSE)</f>
        <v xml:space="preserve">Remove Bitumen sealed areas (car park, etc).  Includes disposal of waste bitumen material off site at an appropriate landfill facility. </v>
      </c>
      <c r="E22" s="148" t="s">
        <v>515</v>
      </c>
      <c r="F22" s="142"/>
      <c r="G22" s="149" t="s">
        <v>135</v>
      </c>
      <c r="H22" s="134">
        <f>VLOOKUP($P22,TOV!$A$4:$E$65536,4,FALSE)</f>
        <v>12.211214244121718</v>
      </c>
      <c r="I22" s="163"/>
      <c r="J22" s="136">
        <f t="shared" si="0"/>
        <v>0</v>
      </c>
      <c r="K22" s="137"/>
      <c r="L22" s="474" t="s">
        <v>570</v>
      </c>
      <c r="M22" s="7"/>
      <c r="O22" s="151">
        <f t="shared" si="1"/>
        <v>0</v>
      </c>
      <c r="P22" s="152" t="s">
        <v>322</v>
      </c>
      <c r="Q22" s="153"/>
    </row>
    <row r="23" spans="1:17" ht="27" x14ac:dyDescent="0.2">
      <c r="A23" s="1"/>
      <c r="B23" s="6"/>
      <c r="C23" s="614"/>
      <c r="D23" s="130" t="str">
        <f>VLOOKUP($P23,TOV!$A$4:$E$65536,2,FALSE)</f>
        <v xml:space="preserve">Remove Concrete pads &amp; footings (&lt; 300mm thickness).  </v>
      </c>
      <c r="E23" s="148" t="s">
        <v>515</v>
      </c>
      <c r="F23" s="142"/>
      <c r="G23" s="149" t="s">
        <v>135</v>
      </c>
      <c r="H23" s="134">
        <f>VLOOKUP($P23,TOV!$A$4:$E$65536,4,FALSE)</f>
        <v>10.219314048272077</v>
      </c>
      <c r="I23" s="163"/>
      <c r="J23" s="136">
        <f t="shared" si="0"/>
        <v>0</v>
      </c>
      <c r="K23" s="137"/>
      <c r="L23" s="474" t="s">
        <v>571</v>
      </c>
      <c r="M23" s="7"/>
      <c r="O23" s="151">
        <f t="shared" si="1"/>
        <v>0</v>
      </c>
      <c r="P23" s="152" t="s">
        <v>337</v>
      </c>
      <c r="Q23" s="153"/>
    </row>
    <row r="24" spans="1:17" ht="27.75" thickBot="1" x14ac:dyDescent="0.25">
      <c r="A24" s="1"/>
      <c r="B24" s="6"/>
      <c r="C24" s="614"/>
      <c r="D24" s="130" t="str">
        <f>VLOOKUP($P24,TOV!$A$4:$E$65536,2,FALSE)</f>
        <v>Remove Concrete pads, footings and foundations (&gt; 300mm thickness)</v>
      </c>
      <c r="E24" s="148" t="s">
        <v>515</v>
      </c>
      <c r="F24" s="142"/>
      <c r="G24" s="164" t="s">
        <v>135</v>
      </c>
      <c r="H24" s="134">
        <f>VLOOKUP($P24,TOV!$A$4:$E$65536,4,FALSE)</f>
        <v>56.292831621837713</v>
      </c>
      <c r="I24" s="165"/>
      <c r="J24" s="136">
        <f t="shared" si="0"/>
        <v>0</v>
      </c>
      <c r="K24" s="137"/>
      <c r="L24" s="476" t="s">
        <v>572</v>
      </c>
      <c r="M24" s="7"/>
      <c r="O24" s="166">
        <f t="shared" si="1"/>
        <v>0</v>
      </c>
      <c r="P24" s="167" t="s">
        <v>339</v>
      </c>
      <c r="Q24" s="168"/>
    </row>
    <row r="25" spans="1:17" ht="13.5" thickBot="1" x14ac:dyDescent="0.25">
      <c r="A25" s="1"/>
      <c r="B25" s="6"/>
      <c r="C25" s="169"/>
      <c r="D25" s="170"/>
      <c r="E25" s="170"/>
      <c r="F25" s="171" t="s">
        <v>573</v>
      </c>
      <c r="G25" s="172"/>
      <c r="H25" s="173"/>
      <c r="I25" s="173"/>
      <c r="J25" s="174">
        <f>SUM(J15:J24)</f>
        <v>630</v>
      </c>
      <c r="K25" s="174"/>
      <c r="L25" s="477"/>
      <c r="M25" s="7"/>
      <c r="O25" s="576"/>
      <c r="P25" s="577"/>
      <c r="Q25" s="578"/>
    </row>
    <row r="26" spans="1:17" ht="27" customHeight="1" x14ac:dyDescent="0.2">
      <c r="A26" s="1"/>
      <c r="B26" s="6"/>
      <c r="C26" s="613" t="s">
        <v>574</v>
      </c>
      <c r="D26" s="130" t="str">
        <f>VLOOKUP($P26,TOV!$A$4:$E$65536,2,FALSE)</f>
        <v>Disconnect electricity supply</v>
      </c>
      <c r="E26" s="131" t="s">
        <v>515</v>
      </c>
      <c r="F26" s="132">
        <v>1</v>
      </c>
      <c r="G26" s="133" t="s">
        <v>35</v>
      </c>
      <c r="H26" s="134">
        <f>VLOOKUP($P26,TOV!$A$4:$E$65536,4,FALSE)</f>
        <v>630</v>
      </c>
      <c r="I26" s="135"/>
      <c r="J26" s="136">
        <f t="shared" si="0"/>
        <v>630</v>
      </c>
      <c r="K26" s="137"/>
      <c r="L26" s="478" t="s">
        <v>575</v>
      </c>
      <c r="M26" s="7"/>
      <c r="O26" s="138">
        <f t="shared" si="1"/>
        <v>0</v>
      </c>
      <c r="P26" s="139" t="s">
        <v>223</v>
      </c>
      <c r="Q26" s="140"/>
    </row>
    <row r="27" spans="1:17" ht="27" customHeight="1" x14ac:dyDescent="0.2">
      <c r="A27" s="1"/>
      <c r="B27" s="6"/>
      <c r="C27" s="614"/>
      <c r="D27" s="130" t="str">
        <f>VLOOKUP($P27,TOV!$A$4:$E$65536,2,FALSE)</f>
        <v>Demolish and remove small buildings / tanks</v>
      </c>
      <c r="E27" s="148" t="s">
        <v>515</v>
      </c>
      <c r="F27" s="142"/>
      <c r="G27" s="149" t="s">
        <v>135</v>
      </c>
      <c r="H27" s="134">
        <f>VLOOKUP($P27,TOV!$A$4:$E$65536,4,FALSE)</f>
        <v>71.535198337904546</v>
      </c>
      <c r="I27" s="150"/>
      <c r="J27" s="136">
        <f t="shared" si="0"/>
        <v>0</v>
      </c>
      <c r="K27" s="137"/>
      <c r="L27" s="474" t="s">
        <v>566</v>
      </c>
      <c r="M27" s="7"/>
      <c r="O27" s="151">
        <f t="shared" si="1"/>
        <v>0</v>
      </c>
      <c r="P27" s="152" t="s">
        <v>205</v>
      </c>
      <c r="Q27" s="153"/>
    </row>
    <row r="28" spans="1:17" ht="27" customHeight="1" x14ac:dyDescent="0.2">
      <c r="A28" s="1"/>
      <c r="B28" s="6"/>
      <c r="C28" s="614"/>
      <c r="D28" s="130" t="str">
        <f>VLOOKUP($P28,TOV!$A$4:$E$65536,2,FALSE)</f>
        <v xml:space="preserve">Demolish and remove industrial buildings such as workshops and large sheds </v>
      </c>
      <c r="E28" s="148" t="s">
        <v>515</v>
      </c>
      <c r="F28" s="142"/>
      <c r="G28" s="149" t="s">
        <v>135</v>
      </c>
      <c r="H28" s="134">
        <f>VLOOKUP($P28,TOV!$A$4:$E$65536,4,FALSE)</f>
        <v>163.50902477235323</v>
      </c>
      <c r="I28" s="150"/>
      <c r="J28" s="136">
        <f t="shared" si="0"/>
        <v>0</v>
      </c>
      <c r="K28" s="137"/>
      <c r="L28" s="474" t="s">
        <v>569</v>
      </c>
      <c r="M28" s="7"/>
      <c r="O28" s="151">
        <f t="shared" si="1"/>
        <v>0</v>
      </c>
      <c r="P28" s="152" t="s">
        <v>199</v>
      </c>
      <c r="Q28" s="153"/>
    </row>
    <row r="29" spans="1:17" ht="33.75" x14ac:dyDescent="0.2">
      <c r="A29" s="1"/>
      <c r="B29" s="6"/>
      <c r="C29" s="614"/>
      <c r="D29" s="130" t="str">
        <f>VLOOKUP($P29,TOV!$A$4:$E$65536,2,FALSE)</f>
        <v xml:space="preserve">Remove Bitumen sealed areas (car park, etc).  Includes disposal of waste bitumen material off site at an appropriate landfill facility. </v>
      </c>
      <c r="E29" s="148" t="s">
        <v>515</v>
      </c>
      <c r="F29" s="142"/>
      <c r="G29" s="149" t="s">
        <v>135</v>
      </c>
      <c r="H29" s="134">
        <f>VLOOKUP($P29,TOV!$A$4:$E$65536,4,FALSE)</f>
        <v>12.211214244121718</v>
      </c>
      <c r="I29" s="163"/>
      <c r="J29" s="136">
        <f t="shared" si="0"/>
        <v>0</v>
      </c>
      <c r="K29" s="137"/>
      <c r="L29" s="474" t="s">
        <v>570</v>
      </c>
      <c r="M29" s="7"/>
      <c r="O29" s="151">
        <f t="shared" si="1"/>
        <v>0</v>
      </c>
      <c r="P29" s="152" t="s">
        <v>322</v>
      </c>
      <c r="Q29" s="153"/>
    </row>
    <row r="30" spans="1:17" ht="27" customHeight="1" x14ac:dyDescent="0.2">
      <c r="A30" s="1"/>
      <c r="B30" s="6"/>
      <c r="C30" s="614"/>
      <c r="D30" s="130" t="str">
        <f>VLOOKUP($P30,TOV!$A$4:$E$65536,2,FALSE)</f>
        <v xml:space="preserve">Remove Concrete pads &amp; footings (&lt; 300mm thickness).  </v>
      </c>
      <c r="E30" s="148" t="s">
        <v>515</v>
      </c>
      <c r="F30" s="142"/>
      <c r="G30" s="149" t="s">
        <v>135</v>
      </c>
      <c r="H30" s="134">
        <f>VLOOKUP($P30,TOV!$A$4:$E$65536,4,FALSE)</f>
        <v>10.219314048272077</v>
      </c>
      <c r="I30" s="163"/>
      <c r="J30" s="136">
        <f t="shared" si="0"/>
        <v>0</v>
      </c>
      <c r="K30" s="137"/>
      <c r="L30" s="474" t="s">
        <v>576</v>
      </c>
      <c r="M30" s="7"/>
      <c r="O30" s="151">
        <f t="shared" si="1"/>
        <v>0</v>
      </c>
      <c r="P30" s="152" t="s">
        <v>337</v>
      </c>
      <c r="Q30" s="153"/>
    </row>
    <row r="31" spans="1:17" ht="27" customHeight="1" x14ac:dyDescent="0.2">
      <c r="A31" s="1"/>
      <c r="B31" s="6"/>
      <c r="C31" s="614"/>
      <c r="D31" s="130" t="str">
        <f>VLOOKUP($P31,TOV!$A$4:$E$65536,2,FALSE)</f>
        <v>Remove Concrete pads, footings and foundations (&gt; 300mm thickness)</v>
      </c>
      <c r="E31" s="148" t="s">
        <v>515</v>
      </c>
      <c r="F31" s="142"/>
      <c r="G31" s="149" t="s">
        <v>135</v>
      </c>
      <c r="H31" s="134">
        <f>VLOOKUP($P31,TOV!$A$4:$E$65536,4,FALSE)</f>
        <v>56.292831621837713</v>
      </c>
      <c r="I31" s="163"/>
      <c r="J31" s="136">
        <f t="shared" si="0"/>
        <v>0</v>
      </c>
      <c r="K31" s="137"/>
      <c r="L31" s="474" t="s">
        <v>577</v>
      </c>
      <c r="M31" s="7"/>
      <c r="O31" s="151">
        <f t="shared" si="1"/>
        <v>0</v>
      </c>
      <c r="P31" s="152" t="s">
        <v>339</v>
      </c>
      <c r="Q31" s="153"/>
    </row>
    <row r="32" spans="1:17" ht="33.75" x14ac:dyDescent="0.2">
      <c r="A32" s="1"/>
      <c r="B32" s="6"/>
      <c r="C32" s="614"/>
      <c r="D32" s="130" t="str">
        <f>VLOOKUP($P32,TOV!$A$4:$E$65536,2,FALSE)</f>
        <v>Demolish / relocate FIXED process infrastructure (ie. crushers, screening plants, pug mills and wet mix plants)</v>
      </c>
      <c r="E32" s="148" t="s">
        <v>515</v>
      </c>
      <c r="F32" s="142"/>
      <c r="G32" s="149" t="s">
        <v>135</v>
      </c>
      <c r="H32" s="134">
        <f>VLOOKUP($P32,TOV!$A$4:$E$65536,4,FALSE)</f>
        <v>163.50902477235323</v>
      </c>
      <c r="I32" s="150"/>
      <c r="J32" s="136">
        <f t="shared" si="0"/>
        <v>0</v>
      </c>
      <c r="K32" s="137"/>
      <c r="L32" s="474" t="s">
        <v>578</v>
      </c>
      <c r="M32" s="7"/>
      <c r="O32" s="151">
        <f t="shared" si="1"/>
        <v>0</v>
      </c>
      <c r="P32" s="152" t="s">
        <v>195</v>
      </c>
      <c r="Q32" s="153"/>
    </row>
    <row r="33" spans="1:17" ht="22.5" x14ac:dyDescent="0.2">
      <c r="A33" s="1"/>
      <c r="B33" s="6"/>
      <c r="C33" s="614"/>
      <c r="D33" s="154" t="str">
        <f>VLOOKUP($P33,TOV!$A$4:$E$65536,2,FALSE)</f>
        <v>Removal of fences not required in the final landform</v>
      </c>
      <c r="E33" s="175" t="s">
        <v>515</v>
      </c>
      <c r="F33" s="176"/>
      <c r="G33" s="161" t="s">
        <v>101</v>
      </c>
      <c r="H33" s="156">
        <f>VLOOKUP($P33,TOV!$A$4:$E$65536,4,FALSE)</f>
        <v>14.837171999999999</v>
      </c>
      <c r="I33" s="177"/>
      <c r="J33" s="136">
        <f t="shared" si="0"/>
        <v>0</v>
      </c>
      <c r="K33" s="157"/>
      <c r="L33" s="475" t="s">
        <v>579</v>
      </c>
      <c r="M33" s="162"/>
      <c r="N33" s="158"/>
      <c r="O33" s="159"/>
      <c r="P33" s="160" t="s">
        <v>500</v>
      </c>
      <c r="Q33" s="153"/>
    </row>
    <row r="34" spans="1:17" ht="33.75" x14ac:dyDescent="0.2">
      <c r="A34" s="1"/>
      <c r="B34" s="6"/>
      <c r="C34" s="614"/>
      <c r="D34" s="154" t="str">
        <f>VLOOKUP($P34,TOV!$A$4:$E$65536,2,FALSE)</f>
        <v>Removal of waste poly pipe, includes collection, cutting for disposal and disposal cost</v>
      </c>
      <c r="E34" s="175" t="s">
        <v>515</v>
      </c>
      <c r="F34" s="176"/>
      <c r="G34" s="161" t="s">
        <v>101</v>
      </c>
      <c r="H34" s="156">
        <f>VLOOKUP($P34,TOV!$A$4:$E$65536,4,FALSE)</f>
        <v>4.3398728099999992</v>
      </c>
      <c r="I34" s="177"/>
      <c r="J34" s="136">
        <f t="shared" si="0"/>
        <v>0</v>
      </c>
      <c r="K34" s="157"/>
      <c r="L34" s="475" t="s">
        <v>580</v>
      </c>
      <c r="M34" s="162"/>
      <c r="N34" s="158"/>
      <c r="O34" s="159"/>
      <c r="P34" s="160" t="s">
        <v>482</v>
      </c>
      <c r="Q34" s="153"/>
    </row>
    <row r="35" spans="1:17" ht="12.75" x14ac:dyDescent="0.2">
      <c r="A35" s="1"/>
      <c r="B35" s="6"/>
      <c r="C35" s="614"/>
      <c r="D35" s="154" t="str">
        <f>VLOOKUP($P35,TOV!$A$4:$E$65536,2,FALSE)</f>
        <v xml:space="preserve">Removal of waste car tyres </v>
      </c>
      <c r="E35" s="175" t="s">
        <v>515</v>
      </c>
      <c r="F35" s="176"/>
      <c r="G35" s="161" t="s">
        <v>379</v>
      </c>
      <c r="H35" s="156">
        <f>VLOOKUP($P35,TOV!$A$4:$E$65536,4,FALSE)</f>
        <v>7.6999999999999993</v>
      </c>
      <c r="I35" s="177"/>
      <c r="J35" s="136">
        <f t="shared" si="0"/>
        <v>0</v>
      </c>
      <c r="K35" s="157"/>
      <c r="L35" s="475" t="s">
        <v>581</v>
      </c>
      <c r="M35" s="162"/>
      <c r="N35" s="158"/>
      <c r="O35" s="159"/>
      <c r="P35" s="160" t="s">
        <v>506</v>
      </c>
      <c r="Q35" s="153"/>
    </row>
    <row r="36" spans="1:17" ht="21.75" customHeight="1" x14ac:dyDescent="0.2">
      <c r="A36" s="1"/>
      <c r="B36" s="6"/>
      <c r="C36" s="614"/>
      <c r="D36" s="154" t="str">
        <f>VLOOKUP($P36,TOV!$A$4:$E$65536,2,FALSE)</f>
        <v xml:space="preserve">Removal of waste truck tyres </v>
      </c>
      <c r="E36" s="175" t="s">
        <v>515</v>
      </c>
      <c r="F36" s="176"/>
      <c r="G36" s="161" t="s">
        <v>379</v>
      </c>
      <c r="H36" s="156">
        <f>VLOOKUP($P36,TOV!$A$4:$E$65536,4,FALSE)</f>
        <v>741.85859999999991</v>
      </c>
      <c r="I36" s="177"/>
      <c r="J36" s="136">
        <f t="shared" si="0"/>
        <v>0</v>
      </c>
      <c r="K36" s="157"/>
      <c r="L36" s="475" t="s">
        <v>582</v>
      </c>
      <c r="M36" s="162"/>
      <c r="N36" s="158"/>
      <c r="O36" s="159"/>
      <c r="P36" s="160" t="s">
        <v>480</v>
      </c>
      <c r="Q36" s="153"/>
    </row>
    <row r="37" spans="1:17" ht="27" customHeight="1" x14ac:dyDescent="0.2">
      <c r="A37" s="1"/>
      <c r="B37" s="6"/>
      <c r="C37" s="614"/>
      <c r="D37" s="130" t="str">
        <f>VLOOKUP($P37,TOV!$A$4:$E$65536,2,FALSE)</f>
        <v>Remove all mobile plant and equipment from the site</v>
      </c>
      <c r="E37" s="148" t="s">
        <v>515</v>
      </c>
      <c r="F37" s="178"/>
      <c r="G37" s="149" t="s">
        <v>35</v>
      </c>
      <c r="H37" s="134">
        <f>VLOOKUP($P37,TOV!$A$4:$E$65536,4,FALSE)</f>
        <v>2043.8628096544155</v>
      </c>
      <c r="I37" s="150"/>
      <c r="J37" s="136">
        <f t="shared" si="0"/>
        <v>0</v>
      </c>
      <c r="K37" s="137"/>
      <c r="L37" s="474" t="s">
        <v>583</v>
      </c>
      <c r="M37" s="7"/>
      <c r="O37" s="151">
        <f t="shared" si="1"/>
        <v>0</v>
      </c>
      <c r="P37" s="152" t="s">
        <v>320</v>
      </c>
      <c r="Q37" s="153"/>
    </row>
    <row r="38" spans="1:17" ht="27" customHeight="1" x14ac:dyDescent="0.2">
      <c r="A38" s="1"/>
      <c r="B38" s="6"/>
      <c r="C38" s="614"/>
      <c r="D38" s="130" t="str">
        <f>VLOOKUP($P38,TOV!$A$4:$E$65536,2,FALSE)</f>
        <v>Removal of general rubbish from the site to a licensed landfill facility</v>
      </c>
      <c r="E38" s="148" t="s">
        <v>515</v>
      </c>
      <c r="F38" s="179">
        <v>1</v>
      </c>
      <c r="G38" s="149" t="s">
        <v>41</v>
      </c>
      <c r="H38" s="134">
        <f>VLOOKUP($P38,TOV!$A$4:$E$65536,4,FALSE)</f>
        <v>664.25541313768508</v>
      </c>
      <c r="I38" s="150"/>
      <c r="J38" s="136">
        <f t="shared" si="0"/>
        <v>664.25541313768508</v>
      </c>
      <c r="K38" s="137"/>
      <c r="L38" s="474" t="s">
        <v>584</v>
      </c>
      <c r="M38" s="7"/>
      <c r="O38" s="151">
        <f t="shared" si="1"/>
        <v>0</v>
      </c>
      <c r="P38" s="152" t="s">
        <v>311</v>
      </c>
      <c r="Q38" s="153"/>
    </row>
    <row r="39" spans="1:17" ht="45" x14ac:dyDescent="0.2">
      <c r="A39" s="1"/>
      <c r="B39" s="6"/>
      <c r="C39" s="614"/>
      <c r="D39" s="130" t="str">
        <f>VLOOKUP($P39,TOV!$A$4:$E$65536,2,FALSE)</f>
        <v>Demolish and remove overland conveyors, transfer stations &amp; gantries (scrapping only - does not include dismantling for re-use at another site).</v>
      </c>
      <c r="E39" s="148" t="s">
        <v>515</v>
      </c>
      <c r="F39" s="142"/>
      <c r="G39" s="149" t="s">
        <v>101</v>
      </c>
      <c r="H39" s="134">
        <f>VLOOKUP($P39,TOV!$A$4:$E$65536,4,FALSE)</f>
        <v>320.43611846276855</v>
      </c>
      <c r="I39" s="150"/>
      <c r="J39" s="136">
        <f t="shared" si="0"/>
        <v>0</v>
      </c>
      <c r="K39" s="137"/>
      <c r="L39" s="474" t="s">
        <v>585</v>
      </c>
      <c r="M39" s="7"/>
      <c r="O39" s="151">
        <f t="shared" si="1"/>
        <v>0</v>
      </c>
      <c r="P39" s="152" t="s">
        <v>203</v>
      </c>
      <c r="Q39" s="153"/>
    </row>
    <row r="40" spans="1:17" ht="45" x14ac:dyDescent="0.2">
      <c r="A40" s="1"/>
      <c r="B40" s="6"/>
      <c r="C40" s="614"/>
      <c r="D40" s="130" t="str">
        <f>VLOOKUP($P40,TOV!$A$4:$E$65536,2,FALSE)</f>
        <v>Demolish and remove overhead conveyors, transfer stations &amp; gantries (scrapping only - does not include dismantling for re-use at another site)</v>
      </c>
      <c r="E40" s="148" t="s">
        <v>515</v>
      </c>
      <c r="F40" s="142"/>
      <c r="G40" s="149" t="s">
        <v>101</v>
      </c>
      <c r="H40" s="134">
        <f>VLOOKUP($P40,TOV!$A$4:$E$65536,4,FALSE)</f>
        <v>255.48285120680194</v>
      </c>
      <c r="I40" s="150"/>
      <c r="J40" s="136">
        <f t="shared" si="0"/>
        <v>0</v>
      </c>
      <c r="K40" s="137"/>
      <c r="L40" s="474" t="s">
        <v>586</v>
      </c>
      <c r="M40" s="7"/>
      <c r="O40" s="151">
        <f t="shared" si="1"/>
        <v>0</v>
      </c>
      <c r="P40" s="152" t="s">
        <v>201</v>
      </c>
      <c r="Q40" s="153"/>
    </row>
    <row r="41" spans="1:17" ht="12.75" customHeight="1" x14ac:dyDescent="0.2">
      <c r="A41" s="1"/>
      <c r="B41" s="6"/>
      <c r="C41" s="614"/>
      <c r="D41" s="621" t="str">
        <f>VLOOKUP($P41,TOV!$A$4:$E$65536,2,FALSE)</f>
        <v>Demolish thickener tanks or flocc tanks (variable rate for small, medium and large structures).</v>
      </c>
      <c r="E41" s="623" t="s">
        <v>515</v>
      </c>
      <c r="F41" s="625"/>
      <c r="G41" s="627" t="s">
        <v>41</v>
      </c>
      <c r="H41" s="629" t="str">
        <f>VLOOKUP($P41,TOV!$A$4:$E$65536,4,FALSE)</f>
        <v>Select from List</v>
      </c>
      <c r="I41" s="631"/>
      <c r="J41" s="633" t="str">
        <f>IF($E41="Y",IF(I41=0,IF(H41="Select From List","",F41*H41),F41*I41),"")</f>
        <v/>
      </c>
      <c r="K41" s="137" t="s">
        <v>521</v>
      </c>
      <c r="L41" s="635" t="s">
        <v>587</v>
      </c>
      <c r="M41" s="590"/>
      <c r="N41" s="591"/>
      <c r="O41" s="592">
        <f t="shared" si="1"/>
        <v>0</v>
      </c>
      <c r="P41" s="594" t="str">
        <f>IF(Q41=1,"X096",IF(Q41=2,"X097",IF(Q41=3,"X098",IF(Q41=4,"x099","X096"))))</f>
        <v>X096</v>
      </c>
      <c r="Q41" s="596">
        <f>VLOOKUP(K41,Select_Size_Index,2,FALSE)</f>
        <v>1</v>
      </c>
    </row>
    <row r="42" spans="1:17" ht="27" customHeight="1" thickBot="1" x14ac:dyDescent="0.25">
      <c r="A42" s="1"/>
      <c r="B42" s="6"/>
      <c r="C42" s="620"/>
      <c r="D42" s="622"/>
      <c r="E42" s="624"/>
      <c r="F42" s="626"/>
      <c r="G42" s="628"/>
      <c r="H42" s="630"/>
      <c r="I42" s="632"/>
      <c r="J42" s="634"/>
      <c r="K42" s="188"/>
      <c r="L42" s="636"/>
      <c r="M42" s="590"/>
      <c r="N42" s="591"/>
      <c r="O42" s="637"/>
      <c r="P42" s="638"/>
      <c r="Q42" s="596"/>
    </row>
    <row r="43" spans="1:17" ht="13.5" thickBot="1" x14ac:dyDescent="0.25">
      <c r="A43" s="1"/>
      <c r="B43" s="6"/>
      <c r="C43" s="169"/>
      <c r="D43" s="170"/>
      <c r="E43" s="170"/>
      <c r="F43" s="171" t="s">
        <v>573</v>
      </c>
      <c r="G43" s="172"/>
      <c r="H43" s="173"/>
      <c r="I43" s="173"/>
      <c r="J43" s="174">
        <f>SUM(J26:J41)</f>
        <v>1294.2554131376851</v>
      </c>
      <c r="K43" s="174"/>
      <c r="L43" s="477"/>
      <c r="M43" s="7"/>
      <c r="O43" s="576"/>
      <c r="P43" s="577"/>
      <c r="Q43" s="578"/>
    </row>
    <row r="44" spans="1:17" ht="22.5" x14ac:dyDescent="0.2">
      <c r="A44" s="1"/>
      <c r="B44" s="6"/>
      <c r="C44" s="579" t="s">
        <v>588</v>
      </c>
      <c r="D44" s="130" t="str">
        <f>VLOOKUP($P44,TOV!$A$4:$E$65536,2,FALSE)</f>
        <v>Has a Contaminated Site Assessment been undertaken for the site?  If not this item applies</v>
      </c>
      <c r="E44" s="148" t="s">
        <v>516</v>
      </c>
      <c r="F44" s="181"/>
      <c r="G44" s="149" t="s">
        <v>35</v>
      </c>
      <c r="H44" s="156">
        <f>VLOOKUP($P44,TOV!$A$4:$E$65536,4,FALSE)</f>
        <v>12990.653451193317</v>
      </c>
      <c r="I44" s="163"/>
      <c r="J44" s="136">
        <f>IF($E44="N",IF(I44=0,F44*H44,F44*I44),"")</f>
        <v>0</v>
      </c>
      <c r="K44" s="137"/>
      <c r="L44" s="478" t="s">
        <v>589</v>
      </c>
      <c r="M44" s="7"/>
      <c r="O44" s="138">
        <f t="shared" si="1"/>
        <v>0</v>
      </c>
      <c r="P44" s="139" t="s">
        <v>243</v>
      </c>
      <c r="Q44" s="140"/>
    </row>
    <row r="45" spans="1:17" ht="36" x14ac:dyDescent="0.2">
      <c r="A45" s="1"/>
      <c r="B45" s="6"/>
      <c r="C45" s="580"/>
      <c r="D45" s="130" t="str">
        <f>VLOOKUP($P45,TOV!$A$4:$E$65536,2,FALSE)</f>
        <v>Removal and disposal of oil contaminated water from bunded areas and sumps.</v>
      </c>
      <c r="E45" s="148" t="s">
        <v>515</v>
      </c>
      <c r="F45" s="142"/>
      <c r="G45" s="189" t="s">
        <v>310</v>
      </c>
      <c r="H45" s="134" t="str">
        <f>VLOOKUP($P45,TOV!$A$4:$E$65536,4,FALSE)</f>
        <v>Use 1st principles to build a rate</v>
      </c>
      <c r="I45" s="190"/>
      <c r="J45" s="136" t="str">
        <f>IF($E45="Y",IF(I45=0,IF(H45="Use 1st principles to build a rate","",F45*H45),F45*I45),"")</f>
        <v/>
      </c>
      <c r="K45" s="137"/>
      <c r="L45" s="474" t="s">
        <v>590</v>
      </c>
      <c r="M45" s="7"/>
      <c r="O45" s="151">
        <f t="shared" si="1"/>
        <v>0</v>
      </c>
      <c r="P45" s="152" t="s">
        <v>308</v>
      </c>
      <c r="Q45" s="153"/>
    </row>
    <row r="46" spans="1:17" ht="45" x14ac:dyDescent="0.2">
      <c r="A46" s="1"/>
      <c r="B46" s="6"/>
      <c r="C46" s="580"/>
      <c r="D46" s="130" t="str">
        <f>VLOOKUP($P46,TOV!$A$4:$E$65536,2,FALSE)</f>
        <v>Load, cart and dispose of low-level contaminated soil off site to a licensed landfill.  Assumes cartage to a local landfill.  Add $50/m3 for cartage to regional landfill.</v>
      </c>
      <c r="E46" s="148" t="s">
        <v>515</v>
      </c>
      <c r="F46" s="142"/>
      <c r="G46" s="149" t="s">
        <v>82</v>
      </c>
      <c r="H46" s="134">
        <f>VLOOKUP($P46,TOV!$A$4:$E$65536,4,FALSE)</f>
        <v>398.553247882611</v>
      </c>
      <c r="I46" s="163"/>
      <c r="J46" s="136">
        <f t="shared" si="0"/>
        <v>0</v>
      </c>
      <c r="K46" s="137"/>
      <c r="L46" s="474" t="s">
        <v>591</v>
      </c>
      <c r="M46" s="7"/>
      <c r="O46" s="151">
        <f t="shared" si="1"/>
        <v>0</v>
      </c>
      <c r="P46" s="152" t="s">
        <v>36</v>
      </c>
      <c r="Q46" s="153"/>
    </row>
    <row r="47" spans="1:17" ht="33.75" x14ac:dyDescent="0.2">
      <c r="A47" s="1"/>
      <c r="B47" s="6"/>
      <c r="C47" s="580"/>
      <c r="D47" s="130" t="str">
        <f>VLOOKUP($P47,TOV!$A$4:$E$65536,2,FALSE)</f>
        <v>Load, cart and dispose of contaminated soil (ie. chemical spillage in / around storage sheds) off site to a licensed landfill</v>
      </c>
      <c r="E47" s="148" t="s">
        <v>515</v>
      </c>
      <c r="F47" s="142"/>
      <c r="G47" s="149" t="s">
        <v>82</v>
      </c>
      <c r="H47" s="134">
        <f>VLOOKUP($P47,TOV!$A$4:$E$65536,4,FALSE)</f>
        <v>689.80369825836533</v>
      </c>
      <c r="I47" s="163"/>
      <c r="J47" s="136">
        <f t="shared" si="0"/>
        <v>0</v>
      </c>
      <c r="K47" s="137"/>
      <c r="L47" s="474" t="s">
        <v>592</v>
      </c>
      <c r="M47" s="7"/>
      <c r="O47" s="151">
        <f t="shared" si="1"/>
        <v>0</v>
      </c>
      <c r="P47" s="152" t="s">
        <v>253</v>
      </c>
      <c r="Q47" s="153"/>
    </row>
    <row r="48" spans="1:17" ht="12.75" customHeight="1" x14ac:dyDescent="0.2">
      <c r="A48" s="1"/>
      <c r="B48" s="6"/>
      <c r="C48" s="580"/>
      <c r="D48" s="597" t="str">
        <f>VLOOKUP($P48,TOV!$A$4:$E$65536,2,FALSE)</f>
        <v>Onsite remediation of hydrocarbon contaminated soils</v>
      </c>
      <c r="E48" s="599" t="s">
        <v>515</v>
      </c>
      <c r="F48" s="601"/>
      <c r="G48" s="603" t="s">
        <v>82</v>
      </c>
      <c r="H48" s="605" t="str">
        <f>VLOOKUP($P48,TOV!$A$4:$E$65536,4,FALSE)</f>
        <v>Select from List</v>
      </c>
      <c r="I48" s="607"/>
      <c r="J48" s="586" t="str">
        <f>IF($E48="Y",IF(I48=0,IF(H48="Select From List","",F48*H48),F48*I48),"")</f>
        <v/>
      </c>
      <c r="K48" s="137" t="s">
        <v>522</v>
      </c>
      <c r="L48" s="588" t="s">
        <v>593</v>
      </c>
      <c r="M48" s="590"/>
      <c r="N48" s="591"/>
      <c r="O48" s="592">
        <f t="shared" si="1"/>
        <v>0</v>
      </c>
      <c r="P48" s="615" t="str">
        <f>IF(Q48=1,"X152",IF(Q48=2,"X153",IF(Q48=3,"X154",IF(Q48=4,"x155",IF(Q48=5,"X156","X152")))))</f>
        <v>X152</v>
      </c>
      <c r="Q48" s="596">
        <f>VLOOKUP(K48,Select_Volume_Index,2,FALSE)</f>
        <v>1</v>
      </c>
    </row>
    <row r="49" spans="1:18" ht="27" customHeight="1" x14ac:dyDescent="0.2">
      <c r="A49" s="1"/>
      <c r="B49" s="6"/>
      <c r="C49" s="580"/>
      <c r="D49" s="598"/>
      <c r="E49" s="600"/>
      <c r="F49" s="602"/>
      <c r="G49" s="604"/>
      <c r="H49" s="606"/>
      <c r="I49" s="608"/>
      <c r="J49" s="587"/>
      <c r="K49" s="137"/>
      <c r="L49" s="589"/>
      <c r="M49" s="590"/>
      <c r="N49" s="591"/>
      <c r="O49" s="593"/>
      <c r="P49" s="616"/>
      <c r="Q49" s="596"/>
    </row>
    <row r="50" spans="1:18" ht="27" customHeight="1" x14ac:dyDescent="0.2">
      <c r="A50" s="1"/>
      <c r="B50" s="6"/>
      <c r="C50" s="580"/>
      <c r="D50" s="154" t="str">
        <f>VLOOKUP($P50,TOV!$A$4:$E$65536,2,FALSE)</f>
        <v xml:space="preserve">Empty and remove above ground fuel tank (include all site facilities and is to include pipes, bunds, etc) </v>
      </c>
      <c r="E50" s="148" t="s">
        <v>515</v>
      </c>
      <c r="F50" s="200"/>
      <c r="G50" s="149" t="s">
        <v>41</v>
      </c>
      <c r="H50" s="201">
        <f>VLOOKUP($P50,TOV!$A$4:$E$65536,4,FALSE)</f>
        <v>14837.171999999999</v>
      </c>
      <c r="I50" s="202"/>
      <c r="J50" s="136">
        <f t="shared" ref="J50" si="2">IF($E50="Y",IF(I50=0,F50*H50,F50*I50),"")</f>
        <v>0</v>
      </c>
      <c r="K50" s="157"/>
      <c r="L50" s="475" t="s">
        <v>594</v>
      </c>
      <c r="M50" s="203"/>
      <c r="N50" s="204"/>
      <c r="O50" s="159"/>
      <c r="P50" s="160" t="s">
        <v>478</v>
      </c>
      <c r="Q50" s="182"/>
    </row>
    <row r="51" spans="1:18" ht="45" x14ac:dyDescent="0.2">
      <c r="A51" s="1"/>
      <c r="B51" s="6"/>
      <c r="C51" s="580"/>
      <c r="D51" s="130" t="str">
        <f>VLOOKUP($P51,TOV!$A$4:$E$65536,2,FALSE)</f>
        <v xml:space="preserve">Removal of underground fuel storage tank (UST) up to 5,000L capacity (include all site facilities and is to include pipes, bunds, etc) </v>
      </c>
      <c r="E51" s="148" t="s">
        <v>515</v>
      </c>
      <c r="F51" s="142"/>
      <c r="G51" s="149" t="s">
        <v>41</v>
      </c>
      <c r="H51" s="134">
        <f>VLOOKUP($P51,TOV!$A$4:$E$65536,4,FALSE)</f>
        <v>21460.559501371365</v>
      </c>
      <c r="I51" s="163"/>
      <c r="J51" s="136">
        <f t="shared" si="0"/>
        <v>0</v>
      </c>
      <c r="K51" s="137"/>
      <c r="L51" s="474" t="s">
        <v>595</v>
      </c>
      <c r="M51" s="7"/>
      <c r="O51" s="151">
        <f t="shared" si="1"/>
        <v>0</v>
      </c>
      <c r="P51" s="152" t="s">
        <v>318</v>
      </c>
      <c r="Q51" s="153"/>
    </row>
    <row r="52" spans="1:18" ht="45.75" thickBot="1" x14ac:dyDescent="0.25">
      <c r="A52" s="1"/>
      <c r="B52" s="6"/>
      <c r="C52" s="619"/>
      <c r="D52" s="130" t="str">
        <f>VLOOKUP($P52,TOV!$A$4:$E$65536,2,FALSE)</f>
        <v>Removal of underground fuel storage tank (UST) above 5,000L and below 15,000L capacity (include all site facilities and is to include pipes, bunds, etc)</v>
      </c>
      <c r="E52" s="148" t="s">
        <v>515</v>
      </c>
      <c r="F52" s="142"/>
      <c r="G52" s="164" t="s">
        <v>41</v>
      </c>
      <c r="H52" s="134">
        <f>VLOOKUP($P52,TOV!$A$4:$E$65536,4,FALSE)</f>
        <v>25981.306902386634</v>
      </c>
      <c r="I52" s="165"/>
      <c r="J52" s="136">
        <f t="shared" si="0"/>
        <v>0</v>
      </c>
      <c r="K52" s="137"/>
      <c r="L52" s="476" t="s">
        <v>596</v>
      </c>
      <c r="M52" s="7"/>
      <c r="O52" s="166">
        <f t="shared" si="1"/>
        <v>0</v>
      </c>
      <c r="P52" s="167" t="s">
        <v>316</v>
      </c>
      <c r="Q52" s="168"/>
    </row>
    <row r="53" spans="1:18" ht="13.5" thickBot="1" x14ac:dyDescent="0.25">
      <c r="A53" s="1"/>
      <c r="B53" s="6"/>
      <c r="C53" s="205"/>
      <c r="D53" s="206"/>
      <c r="E53" s="207"/>
      <c r="F53" s="171" t="s">
        <v>573</v>
      </c>
      <c r="G53" s="171"/>
      <c r="H53" s="171"/>
      <c r="I53" s="208"/>
      <c r="J53" s="209">
        <f>SUM(J44:J52)</f>
        <v>0</v>
      </c>
      <c r="K53" s="209"/>
      <c r="L53" s="481"/>
      <c r="M53" s="7"/>
      <c r="O53" s="576"/>
      <c r="P53" s="577"/>
      <c r="Q53" s="578"/>
    </row>
    <row r="54" spans="1:18" ht="22.5" x14ac:dyDescent="0.2">
      <c r="A54" s="1"/>
      <c r="B54" s="6"/>
      <c r="C54" s="613" t="s">
        <v>597</v>
      </c>
      <c r="D54" s="130" t="str">
        <f>VLOOKUP($P54,TOV!$A$4:$E$65536,2,FALSE)</f>
        <v>Reshape deep rip and ameliorate sealed and unsealed roads</v>
      </c>
      <c r="E54" s="210" t="s">
        <v>515</v>
      </c>
      <c r="F54" s="211"/>
      <c r="G54" s="133" t="s">
        <v>47</v>
      </c>
      <c r="H54" s="212">
        <f>VLOOKUP($P54,TOV!$A$4:$E$65536,4,FALSE)</f>
        <v>2554.8285120680189</v>
      </c>
      <c r="I54" s="135"/>
      <c r="J54" s="136">
        <f t="shared" si="0"/>
        <v>0</v>
      </c>
      <c r="K54" s="213"/>
      <c r="L54" s="478" t="s">
        <v>598</v>
      </c>
      <c r="M54" s="7"/>
      <c r="O54" s="138">
        <f t="shared" si="1"/>
        <v>0</v>
      </c>
      <c r="P54" s="139" t="s">
        <v>359</v>
      </c>
      <c r="Q54" s="140"/>
    </row>
    <row r="55" spans="1:18" ht="12.75" customHeight="1" x14ac:dyDescent="0.2">
      <c r="A55" s="214"/>
      <c r="B55" s="215"/>
      <c r="C55" s="614"/>
      <c r="D55" s="597" t="str">
        <f>VLOOKUP($P55,TOV!$A$4:$E$221,2,FALSE)</f>
        <v xml:space="preserve">Remove unwanted material from roadways (e.g. spillage) </v>
      </c>
      <c r="E55" s="599" t="s">
        <v>515</v>
      </c>
      <c r="F55" s="601"/>
      <c r="G55" s="603" t="s">
        <v>82</v>
      </c>
      <c r="H55" s="605" t="str">
        <f>VLOOKUP($P55,TOV!$A$4:$E$221,4,FALSE)</f>
        <v>Select from List</v>
      </c>
      <c r="I55" s="609"/>
      <c r="J55" s="586" t="str">
        <f>IF($E55="Y",IF(I55=0,IF(H55="Select From List","",F55*H55),F55*I55),"")</f>
        <v/>
      </c>
      <c r="K55" s="137" t="s">
        <v>514</v>
      </c>
      <c r="L55" s="588" t="s">
        <v>599</v>
      </c>
      <c r="M55" s="611"/>
      <c r="N55" s="612"/>
      <c r="O55" s="592">
        <f t="shared" si="1"/>
        <v>0</v>
      </c>
      <c r="P55" s="617" t="str">
        <f>IF(Q55=1,"X188",IF(Q55=2,"X189",IF(Q55=3,"X190",IF(Q55=4,"x191",IF(Q55=5,"X192","X188")))))</f>
        <v>X188</v>
      </c>
      <c r="Q55" s="596">
        <f>VLOOKUP(K55,Select_Haul_Distance_Index,2,FALSE)</f>
        <v>1</v>
      </c>
      <c r="R55" s="16"/>
    </row>
    <row r="56" spans="1:18" ht="27" customHeight="1" x14ac:dyDescent="0.2">
      <c r="A56" s="214"/>
      <c r="B56" s="215"/>
      <c r="C56" s="614"/>
      <c r="D56" s="598"/>
      <c r="E56" s="600"/>
      <c r="F56" s="602"/>
      <c r="G56" s="604"/>
      <c r="H56" s="606"/>
      <c r="I56" s="610"/>
      <c r="J56" s="587"/>
      <c r="K56" s="157"/>
      <c r="L56" s="589"/>
      <c r="M56" s="611"/>
      <c r="N56" s="612"/>
      <c r="O56" s="593"/>
      <c r="P56" s="618"/>
      <c r="Q56" s="596"/>
      <c r="R56" s="16"/>
    </row>
    <row r="57" spans="1:18" ht="34.5" thickBot="1" x14ac:dyDescent="0.25">
      <c r="A57" s="1"/>
      <c r="B57" s="6"/>
      <c r="C57" s="614"/>
      <c r="D57" s="130" t="str">
        <f>VLOOKUP($P57,TOV!$A$4:$E$65536,2,FALSE)</f>
        <v xml:space="preserve">Remove Bitumen sealed areas (car park, etc).  Includes disposal of waste bitumen material off site at an appropriate landfill facility. </v>
      </c>
      <c r="E57" s="148" t="s">
        <v>515</v>
      </c>
      <c r="F57" s="155"/>
      <c r="G57" s="216" t="s">
        <v>135</v>
      </c>
      <c r="H57" s="134">
        <f>VLOOKUP($P57,TOV!$A$4:$E$65536,4,FALSE)</f>
        <v>12.211214244121718</v>
      </c>
      <c r="I57" s="144"/>
      <c r="J57" s="136">
        <f t="shared" si="0"/>
        <v>0</v>
      </c>
      <c r="K57" s="157"/>
      <c r="L57" s="479" t="s">
        <v>600</v>
      </c>
      <c r="M57" s="7"/>
      <c r="O57" s="166">
        <f t="shared" si="1"/>
        <v>0</v>
      </c>
      <c r="P57" s="167" t="s">
        <v>322</v>
      </c>
      <c r="Q57" s="168"/>
    </row>
    <row r="58" spans="1:18" ht="13.5" thickBot="1" x14ac:dyDescent="0.25">
      <c r="A58" s="1"/>
      <c r="B58" s="6"/>
      <c r="C58" s="169"/>
      <c r="D58" s="170"/>
      <c r="E58" s="170"/>
      <c r="F58" s="171" t="s">
        <v>573</v>
      </c>
      <c r="G58" s="172"/>
      <c r="H58" s="173"/>
      <c r="I58" s="173"/>
      <c r="J58" s="174">
        <f>SUM(J54:J57)</f>
        <v>0</v>
      </c>
      <c r="K58" s="174"/>
      <c r="L58" s="477"/>
      <c r="M58" s="7"/>
      <c r="O58" s="576"/>
      <c r="P58" s="577"/>
      <c r="Q58" s="578"/>
    </row>
    <row r="59" spans="1:18" ht="33.75" x14ac:dyDescent="0.2">
      <c r="A59" s="1"/>
      <c r="B59" s="6"/>
      <c r="C59" s="579" t="s">
        <v>601</v>
      </c>
      <c r="D59" s="130" t="str">
        <f>VLOOKUP($P59,TOV!$A$4:$E$65536,2,FALSE)</f>
        <v>Shaping or levelling of minor excavations, batters and stockpiles, final trim, rock rake and deep rip</v>
      </c>
      <c r="E59" s="148" t="s">
        <v>515</v>
      </c>
      <c r="F59" s="142"/>
      <c r="G59" s="133" t="s">
        <v>47</v>
      </c>
      <c r="H59" s="134">
        <f>VLOOKUP($P59,TOV!$A$4:$E$65536,4,FALSE)</f>
        <v>1328.5108262753702</v>
      </c>
      <c r="I59" s="217"/>
      <c r="J59" s="136">
        <f t="shared" si="0"/>
        <v>0</v>
      </c>
      <c r="K59" s="137"/>
      <c r="L59" s="482" t="s">
        <v>602</v>
      </c>
      <c r="M59" s="7"/>
      <c r="O59" s="138">
        <f t="shared" si="1"/>
        <v>0</v>
      </c>
      <c r="P59" s="139" t="s">
        <v>273</v>
      </c>
      <c r="Q59" s="140"/>
    </row>
    <row r="60" spans="1:18" ht="36" x14ac:dyDescent="0.2">
      <c r="A60" s="1"/>
      <c r="B60" s="6"/>
      <c r="C60" s="580"/>
      <c r="D60" s="130" t="str">
        <f>VLOOKUP($P60,TOV!$A$4:$E$65536,2,FALSE)</f>
        <v>Structural water management works, banks, drains, rock lined waterways, sediment dams</v>
      </c>
      <c r="E60" s="148" t="s">
        <v>515</v>
      </c>
      <c r="F60" s="142"/>
      <c r="G60" s="149" t="s">
        <v>47</v>
      </c>
      <c r="H60" s="134">
        <f>VLOOKUP($P60,TOV!$A$4:$E$65536,4,FALSE)</f>
        <v>2043.8628096544155</v>
      </c>
      <c r="I60" s="163"/>
      <c r="J60" s="136">
        <f t="shared" si="0"/>
        <v>0</v>
      </c>
      <c r="K60" s="137"/>
      <c r="L60" s="475" t="s">
        <v>603</v>
      </c>
      <c r="M60" s="7"/>
      <c r="O60" s="151">
        <f t="shared" si="1"/>
        <v>0</v>
      </c>
      <c r="P60" s="152" t="s">
        <v>388</v>
      </c>
      <c r="Q60" s="153"/>
    </row>
    <row r="61" spans="1:18" ht="20.25" x14ac:dyDescent="0.3">
      <c r="A61" s="102"/>
      <c r="B61" s="218"/>
      <c r="C61" s="580"/>
      <c r="D61" s="130" t="str">
        <f>VLOOKUP($P61,TOV!$A$4:$E$65536,2,FALSE)</f>
        <v>Rip hardstand areas</v>
      </c>
      <c r="E61" s="148" t="s">
        <v>515</v>
      </c>
      <c r="F61" s="219"/>
      <c r="G61" s="161" t="s">
        <v>47</v>
      </c>
      <c r="H61" s="156">
        <f>VLOOKUP($P61,TOV!$A$4:$E$233,4,FALSE)</f>
        <v>510.96570241360388</v>
      </c>
      <c r="I61" s="220"/>
      <c r="J61" s="136">
        <f t="shared" si="0"/>
        <v>0</v>
      </c>
      <c r="K61" s="157"/>
      <c r="L61" s="483" t="s">
        <v>604</v>
      </c>
      <c r="M61" s="221"/>
      <c r="N61" s="222"/>
      <c r="O61" s="151">
        <f t="shared" si="1"/>
        <v>0</v>
      </c>
      <c r="P61" s="223" t="s">
        <v>420</v>
      </c>
      <c r="Q61" s="182"/>
      <c r="R61" s="16"/>
    </row>
    <row r="62" spans="1:18" ht="20.25" x14ac:dyDescent="0.3">
      <c r="A62" s="102"/>
      <c r="B62" s="218"/>
      <c r="C62" s="580"/>
      <c r="D62" s="154" t="str">
        <f>VLOOKUP($P62,TOV!$A$4:$E$65536,2,FALSE)</f>
        <v>Clear and grub existing vegetation</v>
      </c>
      <c r="E62" s="148" t="s">
        <v>515</v>
      </c>
      <c r="F62" s="200"/>
      <c r="G62" s="149" t="s">
        <v>47</v>
      </c>
      <c r="H62" s="201">
        <f>VLOOKUP($P62,TOV!$A$4:$E$65536,4,FALSE)</f>
        <v>3412.5495599999995</v>
      </c>
      <c r="I62" s="220"/>
      <c r="J62" s="136">
        <f t="shared" si="0"/>
        <v>0</v>
      </c>
      <c r="K62" s="157"/>
      <c r="L62" s="483" t="s">
        <v>605</v>
      </c>
      <c r="M62" s="221"/>
      <c r="N62" s="222"/>
      <c r="O62" s="159">
        <f t="shared" si="1"/>
        <v>0</v>
      </c>
      <c r="P62" s="160" t="s">
        <v>606</v>
      </c>
      <c r="Q62" s="182"/>
      <c r="R62" s="16"/>
    </row>
    <row r="63" spans="1:18" ht="33.75" x14ac:dyDescent="0.2">
      <c r="A63" s="1"/>
      <c r="B63" s="6"/>
      <c r="C63" s="580"/>
      <c r="D63" s="130" t="str">
        <f>VLOOKUP($P63,TOV!$A$4:$E$65536,2,FALSE)</f>
        <v>Maintenance of the rehabilitated areas that are intended to be part of the ongoing closure of the site.</v>
      </c>
      <c r="E63" s="148" t="s">
        <v>515</v>
      </c>
      <c r="F63" s="179">
        <v>1</v>
      </c>
      <c r="G63" s="149" t="s">
        <v>47</v>
      </c>
      <c r="H63" s="134">
        <f>VLOOKUP($P63,TOV!$A$4:$E$65536,4,FALSE)</f>
        <v>664.25541313768508</v>
      </c>
      <c r="I63" s="163"/>
      <c r="J63" s="136">
        <f t="shared" si="0"/>
        <v>664.25541313768508</v>
      </c>
      <c r="K63" s="137"/>
      <c r="L63" s="475" t="s">
        <v>607</v>
      </c>
      <c r="M63" s="7"/>
      <c r="O63" s="151">
        <f t="shared" si="1"/>
        <v>0</v>
      </c>
      <c r="P63" s="152" t="s">
        <v>52</v>
      </c>
      <c r="Q63" s="153"/>
    </row>
    <row r="64" spans="1:18" ht="27" x14ac:dyDescent="0.2">
      <c r="A64" s="1"/>
      <c r="B64" s="6"/>
      <c r="C64" s="580"/>
      <c r="D64" s="130" t="str">
        <f>VLOOKUP($P64,TOV!$A$4:$E$65536,2,FALSE)</f>
        <v>Construct a standard stock fence around the site</v>
      </c>
      <c r="E64" s="148" t="s">
        <v>515</v>
      </c>
      <c r="F64" s="142"/>
      <c r="G64" s="149" t="s">
        <v>101</v>
      </c>
      <c r="H64" s="134">
        <f>VLOOKUP($P64,TOV!$A$4:$E$65536,4,FALSE)</f>
        <v>8.1754512386176614</v>
      </c>
      <c r="I64" s="163"/>
      <c r="J64" s="136">
        <f t="shared" si="0"/>
        <v>0</v>
      </c>
      <c r="K64" s="137"/>
      <c r="L64" s="475" t="s">
        <v>608</v>
      </c>
      <c r="M64" s="7"/>
      <c r="O64" s="151">
        <f t="shared" si="1"/>
        <v>0</v>
      </c>
      <c r="P64" s="152" t="s">
        <v>178</v>
      </c>
      <c r="Q64" s="153"/>
    </row>
    <row r="65" spans="1:41" ht="12.75" customHeight="1" x14ac:dyDescent="0.2">
      <c r="A65" s="1"/>
      <c r="B65" s="6"/>
      <c r="C65" s="580"/>
      <c r="D65" s="597" t="str">
        <f>VLOOKUP($P65,TOV!$A$4:$E$65536,2,FALSE)</f>
        <v>Source (where availiable onsite), cart, spread and lightly rip topsoil</v>
      </c>
      <c r="E65" s="599" t="s">
        <v>515</v>
      </c>
      <c r="F65" s="601"/>
      <c r="G65" s="603" t="s">
        <v>82</v>
      </c>
      <c r="H65" s="605" t="str">
        <f>VLOOKUP($P65,TOV!$A$4:$E$65536,4,FALSE)</f>
        <v>Select from List</v>
      </c>
      <c r="I65" s="607"/>
      <c r="J65" s="586" t="str">
        <f>IF($E65="Y",IF(I65=0,IF(H65="Select From List","",F65*H65),F65*I65),"")</f>
        <v/>
      </c>
      <c r="K65" s="137" t="s">
        <v>514</v>
      </c>
      <c r="L65" s="588" t="s">
        <v>609</v>
      </c>
      <c r="M65" s="590"/>
      <c r="N65" s="591"/>
      <c r="O65" s="592">
        <f t="shared" si="1"/>
        <v>0</v>
      </c>
      <c r="P65" s="594" t="str">
        <f>IF(Q65=1,"X044",IF(Q65=2,"X045",IF(Q65=3,"X046",IF(Q65=4,"x047",IF(Q65=5,"X048","X044")))))</f>
        <v>X044</v>
      </c>
      <c r="Q65" s="574">
        <f>VLOOKUP(K65,Select_Haul_Distance_Index,2,FALSE)</f>
        <v>1</v>
      </c>
    </row>
    <row r="66" spans="1:41" ht="27" customHeight="1" x14ac:dyDescent="0.2">
      <c r="A66" s="1"/>
      <c r="B66" s="6"/>
      <c r="C66" s="580"/>
      <c r="D66" s="598"/>
      <c r="E66" s="600"/>
      <c r="F66" s="602"/>
      <c r="G66" s="604"/>
      <c r="H66" s="606"/>
      <c r="I66" s="608"/>
      <c r="J66" s="587"/>
      <c r="K66" s="137"/>
      <c r="L66" s="589"/>
      <c r="M66" s="590"/>
      <c r="N66" s="591"/>
      <c r="O66" s="593"/>
      <c r="P66" s="595"/>
      <c r="Q66" s="575"/>
    </row>
    <row r="67" spans="1:41" ht="27" customHeight="1" x14ac:dyDescent="0.2">
      <c r="A67" s="1"/>
      <c r="B67" s="6"/>
      <c r="C67" s="580"/>
      <c r="D67" s="154" t="str">
        <f>VLOOKUP($P67,TOV!$A$4:$E$65536,2,FALSE)</f>
        <v>Purchase of topsoil where there is a shortage on site</v>
      </c>
      <c r="E67" s="148" t="s">
        <v>515</v>
      </c>
      <c r="F67" s="200"/>
      <c r="G67" s="149" t="s">
        <v>38</v>
      </c>
      <c r="H67" s="201">
        <f>VLOOKUP($P67,TOV!$A$4:$E$65536,4,FALSE)</f>
        <v>34.622540861999994</v>
      </c>
      <c r="I67" s="220"/>
      <c r="J67" s="136">
        <f t="shared" ref="J67" si="3">IF($E67="Y",IF(I67=0,F67*H67,F67*I67),"")</f>
        <v>0</v>
      </c>
      <c r="K67" s="157"/>
      <c r="L67" s="475" t="s">
        <v>610</v>
      </c>
      <c r="M67" s="162"/>
      <c r="N67" s="16"/>
      <c r="O67" s="159">
        <f t="shared" ref="O67" si="4">IF(I67="",0,1)</f>
        <v>0</v>
      </c>
      <c r="P67" s="160" t="s">
        <v>611</v>
      </c>
      <c r="Q67" s="224"/>
    </row>
    <row r="68" spans="1:41" ht="27" customHeight="1" x14ac:dyDescent="0.2">
      <c r="A68" s="1"/>
      <c r="B68" s="6"/>
      <c r="C68" s="580"/>
      <c r="D68" s="130" t="str">
        <f>VLOOKUP($P68,TOV!$A$4:$E$65536,2,FALSE)</f>
        <v>Soil amelioration (adding gypsum, lime, etc)</v>
      </c>
      <c r="E68" s="148" t="s">
        <v>515</v>
      </c>
      <c r="F68" s="142"/>
      <c r="G68" s="149" t="s">
        <v>47</v>
      </c>
      <c r="H68" s="134">
        <f>VLOOKUP($P68,TOV!$A$4:$E$65536,4,FALSE)</f>
        <v>510.96570241360388</v>
      </c>
      <c r="I68" s="163"/>
      <c r="J68" s="136">
        <f t="shared" si="0"/>
        <v>0</v>
      </c>
      <c r="K68" s="137"/>
      <c r="L68" s="475" t="s">
        <v>612</v>
      </c>
      <c r="M68" s="7"/>
      <c r="O68" s="151">
        <f t="shared" si="1"/>
        <v>0</v>
      </c>
      <c r="P68" s="152" t="s">
        <v>119</v>
      </c>
      <c r="Q68" s="153"/>
    </row>
    <row r="69" spans="1:41" ht="63" x14ac:dyDescent="0.2">
      <c r="A69" s="1"/>
      <c r="B69" s="6"/>
      <c r="C69" s="580"/>
      <c r="D69" s="130" t="str">
        <f>VLOOKUP($P69,TOV!$A$4:$E$65536,2,FALSE)</f>
        <v>Direct seeding (native tree species OR using native grasses), with single application of fertiliser</v>
      </c>
      <c r="E69" s="148" t="s">
        <v>515</v>
      </c>
      <c r="F69" s="142"/>
      <c r="G69" s="149" t="s">
        <v>47</v>
      </c>
      <c r="H69" s="134">
        <f>VLOOKUP($P69,TOV!$A$4:$E$65536,4,FALSE)</f>
        <v>3576.7599168952274</v>
      </c>
      <c r="I69" s="163"/>
      <c r="J69" s="136">
        <f t="shared" si="0"/>
        <v>0</v>
      </c>
      <c r="K69" s="137"/>
      <c r="L69" s="474" t="s">
        <v>613</v>
      </c>
      <c r="M69" s="7"/>
      <c r="O69" s="151">
        <f t="shared" si="1"/>
        <v>0</v>
      </c>
      <c r="P69" s="152" t="s">
        <v>121</v>
      </c>
      <c r="Q69" s="153"/>
    </row>
    <row r="70" spans="1:41" ht="63" x14ac:dyDescent="0.2">
      <c r="A70" s="1"/>
      <c r="B70" s="6"/>
      <c r="C70" s="580"/>
      <c r="D70" s="130" t="str">
        <f>VLOOKUP($P70,TOV!$A$4:$E$65536,2,FALSE)</f>
        <v>Direct seeding (pasture grass species), with single application of fertiliser</v>
      </c>
      <c r="E70" s="148" t="s">
        <v>515</v>
      </c>
      <c r="F70" s="142"/>
      <c r="G70" s="149" t="s">
        <v>47</v>
      </c>
      <c r="H70" s="134">
        <f>VLOOKUP($P70,TOV!$A$4:$E$65536,4,FALSE)</f>
        <v>919.73826434448688</v>
      </c>
      <c r="I70" s="163"/>
      <c r="J70" s="136">
        <f t="shared" si="0"/>
        <v>0</v>
      </c>
      <c r="K70" s="137"/>
      <c r="L70" s="474" t="s">
        <v>614</v>
      </c>
      <c r="M70" s="7"/>
      <c r="O70" s="151">
        <f t="shared" si="1"/>
        <v>0</v>
      </c>
      <c r="P70" s="152" t="s">
        <v>123</v>
      </c>
      <c r="Q70" s="153"/>
    </row>
    <row r="71" spans="1:41" ht="27" customHeight="1" thickBot="1" x14ac:dyDescent="0.25">
      <c r="A71" s="1"/>
      <c r="B71" s="6"/>
      <c r="C71" s="580"/>
      <c r="D71" s="130" t="str">
        <f>VLOOKUP($P71,TOV!$A$4:$E$65536,2,FALSE)</f>
        <v>Planting tubestock (&lt; 15cm)</v>
      </c>
      <c r="E71" s="148" t="s">
        <v>515</v>
      </c>
      <c r="F71" s="142"/>
      <c r="G71" s="149" t="s">
        <v>41</v>
      </c>
      <c r="H71" s="134">
        <f>VLOOKUP($P71,TOV!$A$4:$E$65536,4,FALSE)</f>
        <v>8.6604356341288788</v>
      </c>
      <c r="I71" s="163"/>
      <c r="J71" s="136">
        <f t="shared" si="0"/>
        <v>0</v>
      </c>
      <c r="K71" s="137"/>
      <c r="L71" s="475" t="s">
        <v>615</v>
      </c>
      <c r="M71" s="7"/>
      <c r="O71" s="151">
        <f t="shared" si="1"/>
        <v>0</v>
      </c>
      <c r="P71" s="152" t="s">
        <v>129</v>
      </c>
      <c r="Q71" s="153"/>
    </row>
    <row r="72" spans="1:41" ht="13.5" thickBot="1" x14ac:dyDescent="0.25">
      <c r="A72" s="1"/>
      <c r="B72" s="6"/>
      <c r="C72" s="205"/>
      <c r="D72" s="206"/>
      <c r="E72" s="207"/>
      <c r="F72" s="171" t="s">
        <v>573</v>
      </c>
      <c r="G72" s="171"/>
      <c r="H72" s="171"/>
      <c r="I72" s="208"/>
      <c r="J72" s="209">
        <f>SUM(J59:J71)</f>
        <v>664.25541313768508</v>
      </c>
      <c r="K72" s="209"/>
      <c r="L72" s="481"/>
      <c r="M72" s="7"/>
      <c r="O72" s="576"/>
      <c r="P72" s="577"/>
      <c r="Q72" s="578"/>
    </row>
    <row r="73" spans="1:41" ht="56.25" x14ac:dyDescent="0.2">
      <c r="A73" s="1"/>
      <c r="B73" s="6"/>
      <c r="C73" s="579" t="s">
        <v>616</v>
      </c>
      <c r="D73" s="225" t="str">
        <f>VLOOKUP($P73,TOV!$A$4:$E$65536,2,FALSE)</f>
        <v>Clean small surface water management dams (include all structures) to be retained after mine closure  - make safe and minor earthworks to stabilise the water management structure. ( &lt; 5 ML)</v>
      </c>
      <c r="E73" s="210" t="s">
        <v>515</v>
      </c>
      <c r="F73" s="226"/>
      <c r="G73" s="133" t="s">
        <v>41</v>
      </c>
      <c r="H73" s="212">
        <f>VLOOKUP($P73,TOV!$A$4:$E$65536,4,FALSE)</f>
        <v>2043.8628096544155</v>
      </c>
      <c r="I73" s="227"/>
      <c r="J73" s="228">
        <f>IF($E73="Y",IF(I73=0,F73*H73,F73*I73),"")</f>
        <v>0</v>
      </c>
      <c r="K73" s="229"/>
      <c r="L73" s="478" t="s">
        <v>617</v>
      </c>
      <c r="M73" s="7"/>
      <c r="O73" s="138">
        <f t="shared" si="1"/>
        <v>0</v>
      </c>
      <c r="P73" s="139" t="s">
        <v>174</v>
      </c>
      <c r="Q73" s="140"/>
    </row>
    <row r="74" spans="1:41" ht="22.5" x14ac:dyDescent="0.2">
      <c r="A74" s="1"/>
      <c r="B74" s="6"/>
      <c r="C74" s="580"/>
      <c r="D74" s="230" t="str">
        <f>VLOOKUP($P74,TOV!$A$4:$E$65536,2,FALSE)</f>
        <v>Pumping costs for water, includes hire of pumps, labour to manage pumping and fuel</v>
      </c>
      <c r="E74" s="148" t="s">
        <v>515</v>
      </c>
      <c r="F74" s="181"/>
      <c r="G74" s="149" t="s">
        <v>491</v>
      </c>
      <c r="H74" s="156">
        <f>VLOOKUP($P74,TOV!$A$4:$E$65536,4,FALSE)</f>
        <v>85.313738999999984</v>
      </c>
      <c r="I74" s="163"/>
      <c r="J74" s="136">
        <f>IF($E74="Y",IF(I74=0,F74*H74,F74*I74),"")</f>
        <v>0</v>
      </c>
      <c r="K74" s="137"/>
      <c r="L74" s="474" t="s">
        <v>618</v>
      </c>
      <c r="M74" s="231"/>
      <c r="N74" s="102"/>
      <c r="O74" s="159">
        <f>IF(I74="",0,1)</f>
        <v>0</v>
      </c>
      <c r="P74" s="160" t="s">
        <v>489</v>
      </c>
      <c r="Q74" s="147"/>
    </row>
    <row r="75" spans="1:41" ht="22.5" x14ac:dyDescent="0.2">
      <c r="A75" s="1"/>
      <c r="B75" s="6"/>
      <c r="C75" s="580"/>
      <c r="D75" s="230" t="str">
        <f>VLOOKUP($P75,TOV!$A$4:$E$65536,2,FALSE)</f>
        <v>Removal of plastic pond liners for offsite disposal</v>
      </c>
      <c r="E75" s="148" t="s">
        <v>515</v>
      </c>
      <c r="F75" s="181"/>
      <c r="G75" s="149" t="s">
        <v>47</v>
      </c>
      <c r="H75" s="156">
        <f>VLOOKUP($P75,TOV!$A$4:$E$65536,4,FALSE)</f>
        <v>3227.0849099999996</v>
      </c>
      <c r="I75" s="163"/>
      <c r="J75" s="136">
        <f>IF($E75="Y",IF(I75=0,F75*H75,F75*I75),"")</f>
        <v>0</v>
      </c>
      <c r="K75" s="137"/>
      <c r="L75" s="474" t="s">
        <v>619</v>
      </c>
      <c r="M75" s="231"/>
      <c r="N75" s="102"/>
      <c r="O75" s="159">
        <f>IF(I75="",0,1)</f>
        <v>0</v>
      </c>
      <c r="P75" s="160" t="s">
        <v>487</v>
      </c>
      <c r="Q75" s="147"/>
    </row>
    <row r="76" spans="1:41" ht="27" customHeight="1" thickBot="1" x14ac:dyDescent="0.25">
      <c r="A76" s="107"/>
      <c r="B76" s="117"/>
      <c r="C76" s="580"/>
      <c r="D76" s="232" t="str">
        <f>VLOOKUP($P76,TOV!$A$4:$E$65536,2,FALSE)</f>
        <v>OR Backfill dams and reinstate to natural surface.  (Push only)</v>
      </c>
      <c r="E76" s="184" t="s">
        <v>515</v>
      </c>
      <c r="F76" s="185"/>
      <c r="G76" s="164" t="s">
        <v>38</v>
      </c>
      <c r="H76" s="186">
        <f>VLOOKUP($P76,TOV!$A$4:$E$65536,4,FALSE)</f>
        <v>0.64087223692553696</v>
      </c>
      <c r="I76" s="165"/>
      <c r="J76" s="233">
        <f>IF($E76="Y",IF(I76=0,F76*H76,F76*I76),"")</f>
        <v>0</v>
      </c>
      <c r="K76" s="137"/>
      <c r="L76" s="484" t="s">
        <v>620</v>
      </c>
      <c r="M76" s="231"/>
      <c r="N76" s="102"/>
      <c r="O76" s="159">
        <f t="shared" si="1"/>
        <v>0</v>
      </c>
      <c r="P76" s="160" t="s">
        <v>460</v>
      </c>
      <c r="Q76" s="234"/>
      <c r="R76" s="235"/>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row>
    <row r="77" spans="1:41" ht="13.5" thickBot="1" x14ac:dyDescent="0.25">
      <c r="A77" s="1"/>
      <c r="B77" s="6"/>
      <c r="C77" s="205"/>
      <c r="D77" s="207"/>
      <c r="E77" s="207"/>
      <c r="F77" s="236" t="s">
        <v>573</v>
      </c>
      <c r="G77" s="172"/>
      <c r="H77" s="173"/>
      <c r="I77" s="173"/>
      <c r="J77" s="209">
        <f>SUM(J73:J76)</f>
        <v>0</v>
      </c>
      <c r="K77" s="209"/>
      <c r="L77" s="485"/>
      <c r="M77" s="7"/>
      <c r="O77" s="576"/>
      <c r="P77" s="577"/>
      <c r="Q77" s="578"/>
    </row>
    <row r="78" spans="1:41" ht="12.75" x14ac:dyDescent="0.2">
      <c r="A78" s="1"/>
      <c r="B78" s="6"/>
      <c r="C78" s="581" t="s">
        <v>621</v>
      </c>
      <c r="D78" s="225" t="s">
        <v>622</v>
      </c>
      <c r="E78" s="133"/>
      <c r="F78" s="237"/>
      <c r="G78" s="133"/>
      <c r="H78" s="583"/>
      <c r="I78" s="135"/>
      <c r="J78" s="238">
        <f>F78*I78</f>
        <v>0</v>
      </c>
      <c r="K78" s="238"/>
      <c r="L78" s="478" t="s">
        <v>623</v>
      </c>
      <c r="M78" s="7"/>
      <c r="O78" s="138">
        <f t="shared" si="1"/>
        <v>0</v>
      </c>
      <c r="P78" s="239"/>
      <c r="Q78" s="140"/>
    </row>
    <row r="79" spans="1:41" ht="12.75" x14ac:dyDescent="0.2">
      <c r="A79" s="1"/>
      <c r="B79" s="6"/>
      <c r="C79" s="581"/>
      <c r="D79" s="180" t="s">
        <v>624</v>
      </c>
      <c r="E79" s="149"/>
      <c r="F79" s="240"/>
      <c r="G79" s="149"/>
      <c r="H79" s="584"/>
      <c r="I79" s="163"/>
      <c r="J79" s="241">
        <f>F79*I79</f>
        <v>0</v>
      </c>
      <c r="K79" s="241"/>
      <c r="L79" s="474" t="s">
        <v>623</v>
      </c>
      <c r="M79" s="7"/>
      <c r="O79" s="151">
        <f t="shared" si="1"/>
        <v>0</v>
      </c>
      <c r="P79" s="242"/>
      <c r="Q79" s="153"/>
    </row>
    <row r="80" spans="1:41" ht="13.5" thickBot="1" x14ac:dyDescent="0.25">
      <c r="A80" s="1"/>
      <c r="B80" s="6"/>
      <c r="C80" s="582"/>
      <c r="D80" s="183" t="s">
        <v>625</v>
      </c>
      <c r="E80" s="164"/>
      <c r="F80" s="243"/>
      <c r="G80" s="164"/>
      <c r="H80" s="585"/>
      <c r="I80" s="165"/>
      <c r="J80" s="241">
        <f>F80*I80</f>
        <v>0</v>
      </c>
      <c r="K80" s="244"/>
      <c r="L80" s="476" t="s">
        <v>623</v>
      </c>
      <c r="M80" s="7"/>
      <c r="O80" s="166">
        <f t="shared" si="1"/>
        <v>0</v>
      </c>
      <c r="P80" s="245"/>
      <c r="Q80" s="168"/>
    </row>
    <row r="81" spans="1:17" ht="13.5" thickBot="1" x14ac:dyDescent="0.25">
      <c r="A81" s="1"/>
      <c r="B81" s="6"/>
      <c r="C81" s="169"/>
      <c r="D81" s="170"/>
      <c r="E81" s="170"/>
      <c r="F81" s="171" t="s">
        <v>573</v>
      </c>
      <c r="G81" s="172"/>
      <c r="H81" s="173"/>
      <c r="I81" s="173"/>
      <c r="J81" s="174">
        <f>SUM(J78:J80)</f>
        <v>0</v>
      </c>
      <c r="K81" s="174"/>
      <c r="L81" s="477"/>
      <c r="M81" s="7"/>
      <c r="O81" s="569"/>
      <c r="P81" s="570"/>
      <c r="Q81" s="571"/>
    </row>
    <row r="82" spans="1:17" ht="12.75" x14ac:dyDescent="0.2">
      <c r="A82" s="1"/>
      <c r="B82" s="6"/>
      <c r="C82" s="16" t="s">
        <v>626</v>
      </c>
      <c r="D82" s="1"/>
      <c r="E82" s="1"/>
      <c r="F82" s="1"/>
      <c r="G82" s="1"/>
      <c r="H82" s="1"/>
      <c r="I82" s="1"/>
      <c r="J82" s="1"/>
      <c r="K82" s="1"/>
      <c r="L82" s="486"/>
      <c r="M82" s="7"/>
      <c r="O82" s="1"/>
      <c r="P82" s="88"/>
      <c r="Q82" s="1"/>
    </row>
    <row r="83" spans="1:17" ht="15.75" x14ac:dyDescent="0.25">
      <c r="A83" s="1"/>
      <c r="B83" s="6"/>
      <c r="C83" s="246" t="s">
        <v>627</v>
      </c>
      <c r="D83" s="572" t="s">
        <v>628</v>
      </c>
      <c r="E83" s="572"/>
      <c r="F83" s="573"/>
      <c r="G83" s="573"/>
      <c r="H83" s="573"/>
      <c r="I83" s="247"/>
      <c r="J83" s="248">
        <f>SUM(J81,J77,J72,J58,J53,J43,J25)</f>
        <v>2588.5108262753702</v>
      </c>
      <c r="K83" s="248"/>
      <c r="L83" s="486"/>
      <c r="M83" s="7"/>
      <c r="O83" s="1"/>
      <c r="P83" s="88"/>
      <c r="Q83" s="1"/>
    </row>
    <row r="84" spans="1:17" ht="12.75" x14ac:dyDescent="0.2">
      <c r="A84" s="1"/>
      <c r="B84" s="50"/>
      <c r="C84" s="32"/>
      <c r="D84" s="32"/>
      <c r="E84" s="32"/>
      <c r="F84" s="32"/>
      <c r="G84" s="32"/>
      <c r="H84" s="32"/>
      <c r="I84" s="32"/>
      <c r="J84" s="32"/>
      <c r="K84" s="32"/>
      <c r="L84" s="487"/>
      <c r="M84" s="33"/>
      <c r="O84" s="1"/>
      <c r="P84" s="88"/>
      <c r="Q84" s="1"/>
    </row>
    <row r="85" spans="1:17" ht="15" x14ac:dyDescent="0.25">
      <c r="A85" s="1"/>
      <c r="B85" s="1"/>
      <c r="C85" s="1"/>
      <c r="D85" s="1"/>
      <c r="E85" s="1"/>
      <c r="F85" s="1"/>
      <c r="G85" s="1"/>
      <c r="H85" s="1"/>
      <c r="I85" s="1"/>
      <c r="J85" s="1"/>
      <c r="K85" s="1"/>
      <c r="L85" s="457"/>
      <c r="M85" s="1"/>
      <c r="O85" s="1"/>
      <c r="P85" s="88"/>
      <c r="Q85" s="1"/>
    </row>
    <row r="86" spans="1:17" ht="15" x14ac:dyDescent="0.25"/>
  </sheetData>
  <mergeCells count="78">
    <mergeCell ref="C3:L3"/>
    <mergeCell ref="C8:D12"/>
    <mergeCell ref="F8:I8"/>
    <mergeCell ref="J8:K8"/>
    <mergeCell ref="F9:I9"/>
    <mergeCell ref="J9:K9"/>
    <mergeCell ref="F10:I10"/>
    <mergeCell ref="J10:K10"/>
    <mergeCell ref="F11:I11"/>
    <mergeCell ref="J11:K11"/>
    <mergeCell ref="Q41:Q42"/>
    <mergeCell ref="C15:C24"/>
    <mergeCell ref="O25:Q25"/>
    <mergeCell ref="C26:C42"/>
    <mergeCell ref="D41:D42"/>
    <mergeCell ref="E41:E42"/>
    <mergeCell ref="F41:F42"/>
    <mergeCell ref="G41:G42"/>
    <mergeCell ref="H41:H42"/>
    <mergeCell ref="I41:I42"/>
    <mergeCell ref="J41:J42"/>
    <mergeCell ref="L41:L42"/>
    <mergeCell ref="M41:M42"/>
    <mergeCell ref="N41:N42"/>
    <mergeCell ref="O41:O42"/>
    <mergeCell ref="P41:P42"/>
    <mergeCell ref="Q48:Q49"/>
    <mergeCell ref="O53:Q53"/>
    <mergeCell ref="O43:Q43"/>
    <mergeCell ref="C44:C52"/>
    <mergeCell ref="D48:D49"/>
    <mergeCell ref="E48:E49"/>
    <mergeCell ref="F48:F49"/>
    <mergeCell ref="G48:G49"/>
    <mergeCell ref="H48:H49"/>
    <mergeCell ref="I48:I49"/>
    <mergeCell ref="J48:J49"/>
    <mergeCell ref="L48:L49"/>
    <mergeCell ref="M48:M49"/>
    <mergeCell ref="N48:N49"/>
    <mergeCell ref="O48:O49"/>
    <mergeCell ref="P48:P49"/>
    <mergeCell ref="P55:P56"/>
    <mergeCell ref="D55:D56"/>
    <mergeCell ref="E55:E56"/>
    <mergeCell ref="F55:F56"/>
    <mergeCell ref="G55:G56"/>
    <mergeCell ref="H55:H56"/>
    <mergeCell ref="Q55:Q56"/>
    <mergeCell ref="O58:Q58"/>
    <mergeCell ref="C59:C71"/>
    <mergeCell ref="D65:D66"/>
    <mergeCell ref="E65:E66"/>
    <mergeCell ref="F65:F66"/>
    <mergeCell ref="G65:G66"/>
    <mergeCell ref="H65:H66"/>
    <mergeCell ref="I65:I66"/>
    <mergeCell ref="I55:I56"/>
    <mergeCell ref="J55:J56"/>
    <mergeCell ref="L55:L56"/>
    <mergeCell ref="M55:M56"/>
    <mergeCell ref="N55:N56"/>
    <mergeCell ref="O55:O56"/>
    <mergeCell ref="C54:C57"/>
    <mergeCell ref="O81:Q81"/>
    <mergeCell ref="D83:H83"/>
    <mergeCell ref="Q65:Q66"/>
    <mergeCell ref="O72:Q72"/>
    <mergeCell ref="C73:C76"/>
    <mergeCell ref="O77:Q77"/>
    <mergeCell ref="C78:C80"/>
    <mergeCell ref="H78:H80"/>
    <mergeCell ref="J65:J66"/>
    <mergeCell ref="L65:L66"/>
    <mergeCell ref="M65:M66"/>
    <mergeCell ref="N65:N66"/>
    <mergeCell ref="O65:O66"/>
    <mergeCell ref="P65:P66"/>
  </mergeCells>
  <conditionalFormatting sqref="F16:F24">
    <cfRule type="expression" dxfId="117" priority="14" stopIfTrue="1">
      <formula>$E16="N"</formula>
    </cfRule>
    <cfRule type="expression" dxfId="116" priority="15" stopIfTrue="1">
      <formula>$E16="Y"</formula>
    </cfRule>
  </conditionalFormatting>
  <conditionalFormatting sqref="F27:F32 F37 F39:F41 F54:F57">
    <cfRule type="expression" dxfId="115" priority="25" stopIfTrue="1">
      <formula>$E27="N"</formula>
    </cfRule>
    <cfRule type="expression" dxfId="114" priority="26" stopIfTrue="1">
      <formula>$E27="Y"</formula>
    </cfRule>
  </conditionalFormatting>
  <conditionalFormatting sqref="F44">
    <cfRule type="expression" dxfId="113" priority="29" stopIfTrue="1">
      <formula>$E44="Y"</formula>
    </cfRule>
    <cfRule type="expression" dxfId="112" priority="30" stopIfTrue="1">
      <formula>$E44="N"</formula>
    </cfRule>
  </conditionalFormatting>
  <conditionalFormatting sqref="F45:F52">
    <cfRule type="expression" dxfId="111" priority="22" stopIfTrue="1">
      <formula>$E45="N"</formula>
    </cfRule>
    <cfRule type="expression" dxfId="110" priority="23" stopIfTrue="1">
      <formula>$E45="Y"</formula>
    </cfRule>
  </conditionalFormatting>
  <conditionalFormatting sqref="F59:F62">
    <cfRule type="expression" dxfId="109" priority="10" stopIfTrue="1">
      <formula>$E59="N"</formula>
    </cfRule>
    <cfRule type="expression" dxfId="108" priority="11" stopIfTrue="1">
      <formula>$E59="Y"</formula>
    </cfRule>
  </conditionalFormatting>
  <conditionalFormatting sqref="F64:F71">
    <cfRule type="expression" dxfId="107" priority="6" stopIfTrue="1">
      <formula>$E64="N"</formula>
    </cfRule>
    <cfRule type="expression" dxfId="106" priority="7" stopIfTrue="1">
      <formula>$E64="Y"</formula>
    </cfRule>
  </conditionalFormatting>
  <conditionalFormatting sqref="F73:F76">
    <cfRule type="expression" dxfId="105" priority="2" stopIfTrue="1">
      <formula>$E73="N"</formula>
    </cfRule>
    <cfRule type="expression" dxfId="104" priority="3" stopIfTrue="1">
      <formula>$E73="Y"</formula>
    </cfRule>
  </conditionalFormatting>
  <conditionalFormatting sqref="J15:J24">
    <cfRule type="expression" dxfId="103" priority="13" stopIfTrue="1">
      <formula>$O15=1</formula>
    </cfRule>
  </conditionalFormatting>
  <conditionalFormatting sqref="J26:J41 J54:J57">
    <cfRule type="expression" dxfId="102" priority="27" stopIfTrue="1">
      <formula>$O26=1</formula>
    </cfRule>
  </conditionalFormatting>
  <conditionalFormatting sqref="J44:J52">
    <cfRule type="expression" dxfId="101" priority="21" stopIfTrue="1">
      <formula>$O44=1</formula>
    </cfRule>
  </conditionalFormatting>
  <conditionalFormatting sqref="J59:J71">
    <cfRule type="expression" dxfId="100" priority="5" stopIfTrue="1">
      <formula>$O59=1</formula>
    </cfRule>
  </conditionalFormatting>
  <conditionalFormatting sqref="J73:J76">
    <cfRule type="expression" dxfId="99" priority="1" stopIfTrue="1">
      <formula>$O73=1</formula>
    </cfRule>
  </conditionalFormatting>
  <conditionalFormatting sqref="K15:K24">
    <cfRule type="expression" dxfId="98" priority="16" stopIfTrue="1">
      <formula>$O15=1</formula>
    </cfRule>
  </conditionalFormatting>
  <conditionalFormatting sqref="K26:K42 K54:K57">
    <cfRule type="expression" dxfId="97" priority="28" stopIfTrue="1">
      <formula>$O26=1</formula>
    </cfRule>
  </conditionalFormatting>
  <conditionalFormatting sqref="K44:K52">
    <cfRule type="expression" dxfId="96" priority="24" stopIfTrue="1">
      <formula>$O44=1</formula>
    </cfRule>
  </conditionalFormatting>
  <conditionalFormatting sqref="K59:K71">
    <cfRule type="expression" dxfId="95" priority="8" stopIfTrue="1">
      <formula>$O59=1</formula>
    </cfRule>
  </conditionalFormatting>
  <conditionalFormatting sqref="K73:K76">
    <cfRule type="expression" dxfId="94" priority="4" stopIfTrue="1">
      <formula>$O73=1</formula>
    </cfRule>
  </conditionalFormatting>
  <dataValidations count="4">
    <dataValidation type="list" allowBlank="1" showInputMessage="1" showErrorMessage="1" sqref="K41" xr:uid="{31F453F6-A7D2-4B74-B583-C6031187EA81}">
      <formula1>Select_Size</formula1>
    </dataValidation>
    <dataValidation type="list" allowBlank="1" showInputMessage="1" showErrorMessage="1" sqref="K48" xr:uid="{E8F3F168-99DB-4EBC-B6B1-BE586F7E74A6}">
      <formula1>Select_Volume</formula1>
    </dataValidation>
    <dataValidation type="list" allowBlank="1" showInputMessage="1" showErrorMessage="1" sqref="E15:E42 E59:E71 E54:E57 E44:E52 E73:E76" xr:uid="{4A347A50-CE54-4A0D-A84B-ABF2AEFE9458}">
      <formula1>Y_N</formula1>
    </dataValidation>
    <dataValidation type="list" allowBlank="1" showInputMessage="1" showErrorMessage="1" sqref="K55 K65" xr:uid="{9863DE1A-3BD4-4EDB-AF98-07443D56CA4E}">
      <formula1>Select_Haul_Distance</formula1>
    </dataValidation>
  </dataValidations>
  <printOptions horizontalCentered="1"/>
  <pageMargins left="0.59055118110236227" right="0.59055118110236227" top="0.59055118110236227" bottom="0.59055118110236227" header="0.39370078740157483" footer="0.39370078740157483"/>
  <pageSetup paperSize="8" orientation="landscape" r:id="rId1"/>
  <headerFooter alignWithMargins="0">
    <oddFooter>&amp;C_x000D_&amp;1#&amp;"Calibri"&amp;12&amp;K000000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9A29-CFCD-4F4F-B7C6-F4F3EF90055E}">
  <sheetPr codeName="Sheet20"/>
  <dimension ref="A1:AO52"/>
  <sheetViews>
    <sheetView workbookViewId="0">
      <selection activeCell="J23" sqref="J23"/>
    </sheetView>
  </sheetViews>
  <sheetFormatPr defaultColWidth="0" defaultRowHeight="0" customHeight="1" zeroHeight="1" x14ac:dyDescent="0.25"/>
  <cols>
    <col min="1" max="2" width="2.42578125" style="2" customWidth="1"/>
    <col min="3" max="3" width="25.85546875" style="2" customWidth="1"/>
    <col min="4" max="4" width="33.7109375" style="2" customWidth="1"/>
    <col min="5" max="5" width="9" style="2" customWidth="1"/>
    <col min="6" max="6" width="7.42578125" style="2" customWidth="1"/>
    <col min="7" max="7" width="4" style="2" customWidth="1"/>
    <col min="8" max="9" width="11.140625" style="2" customWidth="1"/>
    <col min="10" max="10" width="15.7109375" style="2" customWidth="1"/>
    <col min="11" max="11" width="28.7109375" style="2" customWidth="1"/>
    <col min="12" max="12" width="40.140625" customWidth="1"/>
    <col min="13" max="13" width="2.140625" style="2" customWidth="1"/>
    <col min="14" max="14" width="2.42578125" style="1" customWidth="1"/>
    <col min="15" max="17" width="4.5703125" style="2" hidden="1" customWidth="1"/>
    <col min="18" max="18" width="2.42578125" style="1" hidden="1" customWidth="1"/>
    <col min="19" max="16384" width="8.85546875" style="2" hidden="1"/>
  </cols>
  <sheetData>
    <row r="1" spans="1:18" ht="15" x14ac:dyDescent="0.25">
      <c r="A1" s="1"/>
      <c r="B1" s="1"/>
      <c r="C1" s="1"/>
      <c r="D1" s="1"/>
      <c r="E1" s="1"/>
      <c r="F1" s="1"/>
      <c r="G1" s="1"/>
      <c r="H1" s="1"/>
      <c r="I1" s="1"/>
      <c r="J1" s="1"/>
      <c r="K1" s="1"/>
      <c r="L1" s="457"/>
      <c r="M1" s="1"/>
      <c r="O1" s="1"/>
      <c r="P1" s="1"/>
      <c r="Q1" s="1"/>
    </row>
    <row r="2" spans="1:18" ht="15" x14ac:dyDescent="0.25">
      <c r="A2" s="1"/>
      <c r="B2" s="3"/>
      <c r="C2" s="4"/>
      <c r="D2" s="4"/>
      <c r="E2" s="4"/>
      <c r="F2" s="4"/>
      <c r="G2" s="4"/>
      <c r="H2" s="4"/>
      <c r="I2" s="4"/>
      <c r="J2" s="4"/>
      <c r="K2" s="4"/>
      <c r="L2" s="458"/>
      <c r="M2" s="5"/>
      <c r="O2" s="1"/>
      <c r="P2" s="1"/>
      <c r="Q2" s="1"/>
    </row>
    <row r="3" spans="1:18" ht="23.25" thickBot="1" x14ac:dyDescent="0.25">
      <c r="A3" s="1"/>
      <c r="B3" s="6"/>
      <c r="C3" s="639" t="s">
        <v>540</v>
      </c>
      <c r="D3" s="639"/>
      <c r="E3" s="639"/>
      <c r="F3" s="639"/>
      <c r="G3" s="639"/>
      <c r="H3" s="639"/>
      <c r="I3" s="639"/>
      <c r="J3" s="639"/>
      <c r="K3" s="639"/>
      <c r="L3" s="639"/>
      <c r="M3" s="7"/>
      <c r="O3" s="1"/>
      <c r="P3" s="1"/>
      <c r="Q3" s="1"/>
    </row>
    <row r="4" spans="1:18" ht="22.5" x14ac:dyDescent="0.2">
      <c r="A4" s="1"/>
      <c r="B4" s="6"/>
      <c r="C4" s="89" t="s">
        <v>648</v>
      </c>
      <c r="D4" s="90"/>
      <c r="E4" s="90"/>
      <c r="F4" s="91"/>
      <c r="G4" s="91"/>
      <c r="H4" s="92"/>
      <c r="I4" s="92"/>
      <c r="J4" s="92"/>
      <c r="K4" s="93" t="s">
        <v>542</v>
      </c>
      <c r="L4" s="463">
        <f>Total_Liability</f>
        <v>3235.6385328442129</v>
      </c>
      <c r="M4" s="7"/>
      <c r="O4" s="1"/>
      <c r="P4" s="1"/>
      <c r="Q4" s="1"/>
    </row>
    <row r="5" spans="1:18" s="74" customFormat="1" ht="12.75" customHeight="1" x14ac:dyDescent="0.2">
      <c r="A5" s="102"/>
      <c r="B5" s="218"/>
      <c r="C5" s="96"/>
      <c r="D5" s="97"/>
      <c r="E5" s="97"/>
      <c r="F5" s="98"/>
      <c r="G5" s="98"/>
      <c r="H5" s="99"/>
      <c r="I5" s="99"/>
      <c r="J5" s="99"/>
      <c r="K5" s="100" t="s">
        <v>543</v>
      </c>
      <c r="L5" s="464">
        <f>J50</f>
        <v>0</v>
      </c>
      <c r="M5" s="162"/>
      <c r="N5" s="102"/>
      <c r="O5" s="102"/>
      <c r="P5" s="102"/>
      <c r="Q5" s="102"/>
      <c r="R5" s="102"/>
    </row>
    <row r="6" spans="1:18" ht="12.75" customHeight="1" x14ac:dyDescent="0.25">
      <c r="A6" s="1"/>
      <c r="B6" s="6"/>
      <c r="C6" s="105" t="s">
        <v>629</v>
      </c>
      <c r="D6" s="106"/>
      <c r="E6" s="106"/>
      <c r="G6" s="107"/>
      <c r="H6" s="107"/>
      <c r="J6" s="108"/>
      <c r="K6" s="1"/>
      <c r="L6" s="457"/>
      <c r="M6" s="7"/>
      <c r="O6" s="1"/>
      <c r="P6" s="1"/>
      <c r="Q6" s="1"/>
    </row>
    <row r="7" spans="1:18" ht="12.75" customHeight="1" thickBot="1" x14ac:dyDescent="0.25">
      <c r="A7" s="1"/>
      <c r="B7" s="6"/>
      <c r="C7" s="112" t="s">
        <v>544</v>
      </c>
      <c r="D7" s="97"/>
      <c r="E7" s="97"/>
      <c r="F7" s="112" t="s">
        <v>630</v>
      </c>
      <c r="G7" s="98"/>
      <c r="H7" s="107"/>
      <c r="I7" s="1"/>
      <c r="J7" s="1"/>
      <c r="K7" s="1"/>
      <c r="L7" s="465" t="s">
        <v>545</v>
      </c>
      <c r="M7" s="7"/>
      <c r="O7" s="1"/>
      <c r="P7" s="1"/>
      <c r="Q7" s="1"/>
    </row>
    <row r="8" spans="1:18" ht="12.75" customHeight="1" x14ac:dyDescent="0.2">
      <c r="A8" s="1"/>
      <c r="B8" s="6"/>
      <c r="C8" s="679"/>
      <c r="D8" s="680"/>
      <c r="E8" s="114"/>
      <c r="F8" s="646" t="s">
        <v>631</v>
      </c>
      <c r="G8" s="646"/>
      <c r="H8" s="646"/>
      <c r="I8" s="660"/>
      <c r="J8" s="685"/>
      <c r="K8" s="686"/>
      <c r="L8" s="466" t="s">
        <v>546</v>
      </c>
      <c r="M8" s="7"/>
      <c r="O8" s="1"/>
      <c r="P8" s="1"/>
      <c r="Q8" s="1"/>
    </row>
    <row r="9" spans="1:18" ht="12.75" customHeight="1" x14ac:dyDescent="0.2">
      <c r="A9" s="1"/>
      <c r="B9" s="6"/>
      <c r="C9" s="681"/>
      <c r="D9" s="682"/>
      <c r="E9" s="114"/>
      <c r="F9" s="646" t="s">
        <v>632</v>
      </c>
      <c r="G9" s="646"/>
      <c r="H9" s="646"/>
      <c r="I9" s="660"/>
      <c r="J9" s="687"/>
      <c r="K9" s="688"/>
      <c r="L9" s="467" t="s">
        <v>547</v>
      </c>
      <c r="M9" s="7"/>
      <c r="O9" s="1"/>
      <c r="P9" s="1"/>
      <c r="Q9" s="1"/>
    </row>
    <row r="10" spans="1:18" ht="12.75" customHeight="1" x14ac:dyDescent="0.2">
      <c r="A10" s="1"/>
      <c r="B10" s="6"/>
      <c r="C10" s="681"/>
      <c r="D10" s="682"/>
      <c r="E10" s="114"/>
      <c r="F10" s="646" t="s">
        <v>633</v>
      </c>
      <c r="G10" s="646"/>
      <c r="H10" s="646"/>
      <c r="I10" s="660"/>
      <c r="J10" s="687"/>
      <c r="K10" s="688"/>
      <c r="L10" s="468" t="s">
        <v>548</v>
      </c>
      <c r="M10" s="7"/>
      <c r="O10" s="1"/>
      <c r="P10" s="1"/>
      <c r="Q10" s="1"/>
    </row>
    <row r="11" spans="1:18" ht="12.75" customHeight="1" x14ac:dyDescent="0.2">
      <c r="A11" s="1"/>
      <c r="B11" s="6"/>
      <c r="C11" s="681"/>
      <c r="D11" s="682"/>
      <c r="E11" s="114"/>
      <c r="F11" s="646" t="s">
        <v>634</v>
      </c>
      <c r="G11" s="646"/>
      <c r="H11" s="646"/>
      <c r="I11" s="660"/>
      <c r="J11" s="687"/>
      <c r="K11" s="688"/>
      <c r="L11" s="469" t="s">
        <v>549</v>
      </c>
      <c r="M11" s="7"/>
      <c r="O11" s="1"/>
      <c r="P11" s="1"/>
      <c r="Q11" s="1"/>
    </row>
    <row r="12" spans="1:18" ht="12.75" customHeight="1" x14ac:dyDescent="0.2">
      <c r="A12" s="1"/>
      <c r="B12" s="6"/>
      <c r="C12" s="681"/>
      <c r="D12" s="682"/>
      <c r="E12" s="97"/>
      <c r="F12" s="646" t="s">
        <v>635</v>
      </c>
      <c r="G12" s="646"/>
      <c r="H12" s="646"/>
      <c r="I12" s="660"/>
      <c r="J12" s="687"/>
      <c r="K12" s="688"/>
      <c r="L12" s="488"/>
      <c r="M12" s="7"/>
      <c r="O12" s="1"/>
      <c r="P12" s="1"/>
      <c r="Q12" s="1"/>
    </row>
    <row r="13" spans="1:18" ht="12.75" customHeight="1" x14ac:dyDescent="0.2">
      <c r="A13" s="1"/>
      <c r="B13" s="6"/>
      <c r="C13" s="681"/>
      <c r="D13" s="682"/>
      <c r="E13" s="97"/>
      <c r="F13" s="646" t="s">
        <v>636</v>
      </c>
      <c r="G13" s="646"/>
      <c r="H13" s="646"/>
      <c r="I13" s="660"/>
      <c r="J13" s="687"/>
      <c r="K13" s="688"/>
      <c r="L13" s="488"/>
      <c r="M13" s="7"/>
      <c r="O13" s="1"/>
      <c r="P13" s="1"/>
      <c r="Q13" s="1"/>
    </row>
    <row r="14" spans="1:18" ht="12.75" customHeight="1" x14ac:dyDescent="0.2">
      <c r="A14" s="1"/>
      <c r="B14" s="6"/>
      <c r="C14" s="681"/>
      <c r="D14" s="682"/>
      <c r="E14" s="250"/>
      <c r="F14" s="646" t="s">
        <v>637</v>
      </c>
      <c r="G14" s="646"/>
      <c r="H14" s="646"/>
      <c r="I14" s="660"/>
      <c r="J14" s="687"/>
      <c r="K14" s="688"/>
      <c r="L14" s="488"/>
      <c r="M14" s="7"/>
      <c r="O14" s="1"/>
      <c r="P14" s="1"/>
      <c r="Q14" s="1"/>
    </row>
    <row r="15" spans="1:18" ht="12.75" customHeight="1" x14ac:dyDescent="0.2">
      <c r="A15" s="1"/>
      <c r="B15" s="6"/>
      <c r="C15" s="681"/>
      <c r="D15" s="682"/>
      <c r="E15" s="97"/>
      <c r="F15" s="646" t="s">
        <v>638</v>
      </c>
      <c r="G15" s="646"/>
      <c r="H15" s="646"/>
      <c r="I15" s="660"/>
      <c r="J15" s="661"/>
      <c r="K15" s="662"/>
      <c r="L15" s="488" t="s">
        <v>639</v>
      </c>
      <c r="M15" s="7"/>
      <c r="O15" s="1"/>
      <c r="P15" s="1"/>
      <c r="Q15" s="1"/>
    </row>
    <row r="16" spans="1:18" ht="12.75" customHeight="1" x14ac:dyDescent="0.2">
      <c r="A16" s="1"/>
      <c r="B16" s="6"/>
      <c r="C16" s="681"/>
      <c r="D16" s="682"/>
      <c r="E16" s="112"/>
      <c r="F16" s="646"/>
      <c r="G16" s="646"/>
      <c r="H16" s="646"/>
      <c r="I16" s="660"/>
      <c r="J16" s="663"/>
      <c r="K16" s="664"/>
      <c r="L16" s="488"/>
      <c r="M16" s="7"/>
      <c r="O16" s="1"/>
      <c r="P16" s="1"/>
      <c r="Q16" s="1"/>
    </row>
    <row r="17" spans="1:41" ht="12.75" customHeight="1" thickBot="1" x14ac:dyDescent="0.25">
      <c r="A17" s="1"/>
      <c r="B17" s="6"/>
      <c r="C17" s="683"/>
      <c r="D17" s="684"/>
      <c r="E17" s="112"/>
      <c r="F17" s="646"/>
      <c r="G17" s="646"/>
      <c r="H17" s="646"/>
      <c r="I17" s="660"/>
      <c r="J17" s="665"/>
      <c r="K17" s="666"/>
      <c r="L17" s="488"/>
      <c r="M17" s="7"/>
      <c r="O17" s="1"/>
      <c r="P17" s="1"/>
      <c r="Q17" s="1"/>
    </row>
    <row r="18" spans="1:41" ht="12.75" customHeight="1" thickBot="1" x14ac:dyDescent="0.25">
      <c r="A18" s="1"/>
      <c r="B18" s="6"/>
      <c r="C18" s="122"/>
      <c r="D18" s="1"/>
      <c r="E18" s="46"/>
      <c r="F18" s="98"/>
      <c r="G18" s="251"/>
      <c r="H18" s="1"/>
      <c r="I18" s="252"/>
      <c r="J18" s="252"/>
      <c r="K18" s="253"/>
      <c r="L18" s="488"/>
      <c r="M18" s="7"/>
      <c r="O18" s="1"/>
      <c r="P18" s="1"/>
      <c r="Q18" s="1"/>
    </row>
    <row r="19" spans="1:41" ht="23.25" thickBot="1" x14ac:dyDescent="0.25">
      <c r="A19" s="1"/>
      <c r="B19" s="6"/>
      <c r="C19" s="254" t="s">
        <v>550</v>
      </c>
      <c r="D19" s="255" t="s">
        <v>551</v>
      </c>
      <c r="E19" s="256" t="s">
        <v>552</v>
      </c>
      <c r="F19" s="255" t="s">
        <v>553</v>
      </c>
      <c r="G19" s="255" t="s">
        <v>32</v>
      </c>
      <c r="H19" s="257" t="s">
        <v>554</v>
      </c>
      <c r="I19" s="257" t="s">
        <v>555</v>
      </c>
      <c r="J19" s="129" t="s">
        <v>556</v>
      </c>
      <c r="K19" s="129" t="s">
        <v>557</v>
      </c>
      <c r="L19" s="489" t="s">
        <v>558</v>
      </c>
      <c r="M19" s="7"/>
      <c r="O19" s="129" t="s">
        <v>559</v>
      </c>
      <c r="P19" s="129" t="s">
        <v>560</v>
      </c>
      <c r="Q19" s="129" t="s">
        <v>561</v>
      </c>
    </row>
    <row r="20" spans="1:41" ht="12.75" customHeight="1" x14ac:dyDescent="0.2">
      <c r="A20" s="1"/>
      <c r="B20" s="6"/>
      <c r="C20" s="667" t="s">
        <v>640</v>
      </c>
      <c r="D20" s="668" t="str">
        <f>VLOOKUP($P20,TOV!$A$4:$E$65536,2,FALSE)</f>
        <v xml:space="preserve">Source local material (where availiable onsite), cart and spread suitable material to cap the tailings storage (cap thickness determined by approval/licence) </v>
      </c>
      <c r="E20" s="669" t="s">
        <v>515</v>
      </c>
      <c r="F20" s="670"/>
      <c r="G20" s="671" t="s">
        <v>82</v>
      </c>
      <c r="H20" s="672" t="str">
        <f>VLOOKUP($P20,TOV!$A$4:$E$65536,4,FALSE)</f>
        <v>Select from List</v>
      </c>
      <c r="I20" s="673"/>
      <c r="J20" s="674" t="str">
        <f>IF($E20="Y",IF(I20=0,IF(H20="Select From List","",F20*H20),F20*I20),"")</f>
        <v/>
      </c>
      <c r="K20" s="229" t="s">
        <v>514</v>
      </c>
      <c r="L20" s="675" t="s">
        <v>641</v>
      </c>
      <c r="M20" s="658"/>
      <c r="N20" s="591"/>
      <c r="O20" s="677">
        <f>IF(I20="",0,1)</f>
        <v>0</v>
      </c>
      <c r="P20" s="678" t="str">
        <f>IF(Q20=1,"X205",IF(Q20=2,"X206",IF(Q20=3,"X207",IF(Q20=4,"X208",IF(Q20=5,"X209","X205")))))</f>
        <v>X205</v>
      </c>
      <c r="Q20" s="574">
        <f>VLOOKUP(K20,Select_Haul_Distance_Index,2,FALSE)</f>
        <v>1</v>
      </c>
    </row>
    <row r="21" spans="1:41" ht="27" customHeight="1" x14ac:dyDescent="0.2">
      <c r="A21" s="1"/>
      <c r="B21" s="6"/>
      <c r="C21" s="581"/>
      <c r="D21" s="621"/>
      <c r="E21" s="623"/>
      <c r="F21" s="625"/>
      <c r="G21" s="627"/>
      <c r="H21" s="629"/>
      <c r="I21" s="659"/>
      <c r="J21" s="633"/>
      <c r="K21" s="137"/>
      <c r="L21" s="676"/>
      <c r="M21" s="658"/>
      <c r="N21" s="591"/>
      <c r="O21" s="593"/>
      <c r="P21" s="595"/>
      <c r="Q21" s="575"/>
    </row>
    <row r="22" spans="1:41" ht="27" customHeight="1" x14ac:dyDescent="0.2">
      <c r="A22" s="1"/>
      <c r="B22" s="6"/>
      <c r="C22" s="581"/>
      <c r="D22" s="180" t="str">
        <f>VLOOKUP($P22,TOV!$A$4:$E$65536,2,FALSE)</f>
        <v>Purchase of capping material where there is a shortage on site</v>
      </c>
      <c r="E22" s="148" t="s">
        <v>515</v>
      </c>
      <c r="F22" s="155"/>
      <c r="G22" s="161" t="s">
        <v>38</v>
      </c>
      <c r="H22" s="156">
        <f>VLOOKUP($P22,TOV!$A$4:$E$65536,4,FALSE)</f>
        <v>24.370055009999998</v>
      </c>
      <c r="I22" s="163"/>
      <c r="J22" s="136">
        <f>IF($E22="Y",IF(I22=0,IF(H22="Use 1st principles to build a rate","",F22*H22),F22*I22),"")</f>
        <v>0</v>
      </c>
      <c r="K22" s="157"/>
      <c r="L22" s="475" t="s">
        <v>642</v>
      </c>
      <c r="M22" s="120"/>
      <c r="N22" s="158"/>
      <c r="O22" s="258">
        <f t="shared" ref="O22" si="0">IF(I22="",0,1)</f>
        <v>0</v>
      </c>
      <c r="P22" s="259" t="s">
        <v>643</v>
      </c>
      <c r="Q22" s="224"/>
    </row>
    <row r="23" spans="1:41" ht="67.5" x14ac:dyDescent="0.2">
      <c r="A23" s="1"/>
      <c r="B23" s="6"/>
      <c r="C23" s="581"/>
      <c r="D23" s="180" t="str">
        <f>VLOOKUP($P23,TOV!$A$4:$E$65536,2,FALSE)</f>
        <v xml:space="preserve">(Only if specifically required): Apply engineered treatment as required (i.e. additional compaction, capillary breaks, etc) - design in accordance with the approval/permit commitments. Generic rate assumes cap thickness of approximately 1-1.5m.  </v>
      </c>
      <c r="E23" s="148" t="s">
        <v>515</v>
      </c>
      <c r="F23" s="181"/>
      <c r="G23" s="149" t="s">
        <v>47</v>
      </c>
      <c r="H23" s="156" t="str">
        <f>VLOOKUP($P23,TOV!$A$4:$E$65536,4,FALSE)</f>
        <v>Use 1st principles to build a rate</v>
      </c>
      <c r="I23" s="163"/>
      <c r="J23" s="136" t="str">
        <f>IF($E23="Y",IF(I23=0,IF(H23="Use 1st principles to build a rate","",F23*H23),F23*I23),"")</f>
        <v/>
      </c>
      <c r="K23" s="137"/>
      <c r="L23" s="474" t="s">
        <v>644</v>
      </c>
      <c r="M23" s="7"/>
      <c r="O23" s="151">
        <f>IF(I23="",0,1)</f>
        <v>0</v>
      </c>
      <c r="P23" s="152" t="s">
        <v>158</v>
      </c>
      <c r="Q23" s="153"/>
    </row>
    <row r="24" spans="1:41" ht="27" customHeight="1" thickBot="1" x14ac:dyDescent="0.25">
      <c r="A24" s="1"/>
      <c r="B24" s="6"/>
      <c r="C24" s="581"/>
      <c r="D24" s="183" t="str">
        <f>VLOOKUP($P24,TOV!$A$4:$E$65536,2,FALSE)</f>
        <v xml:space="preserve">Reshaping (earthworks only) of the walls &amp; surrounds of the tailings storage </v>
      </c>
      <c r="E24" s="184" t="s">
        <v>515</v>
      </c>
      <c r="F24" s="185"/>
      <c r="G24" s="164" t="s">
        <v>47</v>
      </c>
      <c r="H24" s="186">
        <f>VLOOKUP($P24,TOV!$A$4:$E$65536,4,FALSE)</f>
        <v>3377.5698973102621</v>
      </c>
      <c r="I24" s="165"/>
      <c r="J24" s="187">
        <f t="shared" ref="J24:J43" si="1">IF($E24="Y",IF(I24=0,F24*H24,F24*I24),"")</f>
        <v>0</v>
      </c>
      <c r="K24" s="188"/>
      <c r="L24" s="476" t="s">
        <v>645</v>
      </c>
      <c r="M24" s="7"/>
      <c r="O24" s="166">
        <f>IF(I24="",0,1)</f>
        <v>0</v>
      </c>
      <c r="P24" s="167" t="s">
        <v>369</v>
      </c>
      <c r="Q24" s="168"/>
    </row>
    <row r="25" spans="1:41" ht="13.5" thickBot="1" x14ac:dyDescent="0.25">
      <c r="A25" s="1"/>
      <c r="B25" s="6"/>
      <c r="C25" s="260"/>
      <c r="D25" s="261"/>
      <c r="E25" s="261"/>
      <c r="F25" s="262" t="s">
        <v>573</v>
      </c>
      <c r="G25" s="263"/>
      <c r="H25" s="264"/>
      <c r="I25" s="264"/>
      <c r="J25" s="209">
        <f>SUM(J20:J24)</f>
        <v>0</v>
      </c>
      <c r="K25" s="265"/>
      <c r="L25" s="490"/>
      <c r="M25" s="7"/>
      <c r="O25" s="649"/>
      <c r="P25" s="650"/>
      <c r="Q25" s="651"/>
    </row>
    <row r="26" spans="1:41" ht="56.25" x14ac:dyDescent="0.2">
      <c r="A26" s="1"/>
      <c r="B26" s="6"/>
      <c r="C26" s="613" t="s">
        <v>616</v>
      </c>
      <c r="D26" s="225" t="str">
        <f>VLOOKUP($P26,TOV!$A$4:$E$65536,2,FALSE)</f>
        <v>Clean small surface water management dams (include all structures) to be retained after mine closure  - make safe and minor earthworks to stabilise the water management structure. ( &lt; 5 ML)</v>
      </c>
      <c r="E26" s="210" t="s">
        <v>515</v>
      </c>
      <c r="F26" s="226"/>
      <c r="G26" s="133" t="s">
        <v>41</v>
      </c>
      <c r="H26" s="212">
        <f>VLOOKUP($P26,TOV!$A$4:$E$65536,4,FALSE)</f>
        <v>2043.8628096544155</v>
      </c>
      <c r="I26" s="135"/>
      <c r="J26" s="228">
        <f t="shared" si="1"/>
        <v>0</v>
      </c>
      <c r="K26" s="229"/>
      <c r="L26" s="478" t="s">
        <v>617</v>
      </c>
      <c r="M26" s="7"/>
      <c r="O26" s="138">
        <f>IF(I26="",0,1)</f>
        <v>0</v>
      </c>
      <c r="P26" s="139" t="s">
        <v>177</v>
      </c>
      <c r="Q26" s="140"/>
    </row>
    <row r="27" spans="1:41" ht="22.5" x14ac:dyDescent="0.2">
      <c r="A27" s="1"/>
      <c r="B27" s="6"/>
      <c r="C27" s="614"/>
      <c r="D27" s="230" t="str">
        <f>VLOOKUP($P27,TOV!$A$4:$E$65536,2,FALSE)</f>
        <v>Pumping costs for water, includes hire of pumps, labour to manage pumping and fuel</v>
      </c>
      <c r="E27" s="148" t="s">
        <v>515</v>
      </c>
      <c r="F27" s="181"/>
      <c r="G27" s="149" t="s">
        <v>491</v>
      </c>
      <c r="H27" s="156">
        <f>VLOOKUP($P27,TOV!$A$4:$E$65536,4,FALSE)</f>
        <v>85.313738999999984</v>
      </c>
      <c r="I27" s="163"/>
      <c r="J27" s="136">
        <f>IF($E27="Y",IF(I27=0,F27*H27,F27*I27),"")</f>
        <v>0</v>
      </c>
      <c r="K27" s="137"/>
      <c r="L27" s="474" t="s">
        <v>618</v>
      </c>
      <c r="M27" s="231"/>
      <c r="N27" s="102"/>
      <c r="O27" s="159">
        <f>IF(I27="",0,1)</f>
        <v>0</v>
      </c>
      <c r="P27" s="160" t="s">
        <v>489</v>
      </c>
      <c r="Q27" s="147"/>
    </row>
    <row r="28" spans="1:41" ht="22.5" x14ac:dyDescent="0.2">
      <c r="A28" s="1"/>
      <c r="B28" s="6"/>
      <c r="C28" s="614"/>
      <c r="D28" s="230" t="str">
        <f>VLOOKUP($P28,TOV!$A$4:$E$65536,2,FALSE)</f>
        <v>Removal of plastic pond liners for offsite disposal</v>
      </c>
      <c r="E28" s="148" t="s">
        <v>515</v>
      </c>
      <c r="F28" s="181"/>
      <c r="G28" s="149" t="s">
        <v>47</v>
      </c>
      <c r="H28" s="156">
        <f>VLOOKUP($P28,TOV!$A$4:$E$65536,4,FALSE)</f>
        <v>3227.0849099999996</v>
      </c>
      <c r="I28" s="163"/>
      <c r="J28" s="136">
        <f>IF($E28="Y",IF(I28=0,F28*H28,F28*I28),"")</f>
        <v>0</v>
      </c>
      <c r="K28" s="137"/>
      <c r="L28" s="474" t="s">
        <v>619</v>
      </c>
      <c r="M28" s="231"/>
      <c r="N28" s="102"/>
      <c r="O28" s="159">
        <f>IF(I28="",0,1)</f>
        <v>0</v>
      </c>
      <c r="P28" s="160" t="s">
        <v>487</v>
      </c>
      <c r="Q28" s="147"/>
    </row>
    <row r="29" spans="1:41" ht="27" customHeight="1" thickBot="1" x14ac:dyDescent="0.25">
      <c r="A29" s="107"/>
      <c r="B29" s="117"/>
      <c r="C29" s="614"/>
      <c r="D29" s="232" t="str">
        <f>VLOOKUP($P29,TOV!$A$4:$E$65536,2,FALSE)</f>
        <v>OR Backfill dams and reinstate to natural surface.  (Push only)</v>
      </c>
      <c r="E29" s="184" t="s">
        <v>515</v>
      </c>
      <c r="F29" s="185"/>
      <c r="G29" s="164" t="s">
        <v>38</v>
      </c>
      <c r="H29" s="186">
        <f>VLOOKUP($P29,TOV!$A$4:$E$65536,4,FALSE)</f>
        <v>0.64087223692553696</v>
      </c>
      <c r="I29" s="165"/>
      <c r="J29" s="233">
        <f t="shared" si="1"/>
        <v>0</v>
      </c>
      <c r="K29" s="137"/>
      <c r="L29" s="484" t="s">
        <v>620</v>
      </c>
      <c r="M29" s="231"/>
      <c r="N29" s="102"/>
      <c r="O29" s="159">
        <f>IF(I29="",0,1)</f>
        <v>0</v>
      </c>
      <c r="P29" s="160" t="s">
        <v>460</v>
      </c>
      <c r="Q29" s="234"/>
      <c r="R29" s="235"/>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row>
    <row r="30" spans="1:41" ht="13.5" thickBot="1" x14ac:dyDescent="0.25">
      <c r="A30" s="1"/>
      <c r="B30" s="6"/>
      <c r="C30" s="205"/>
      <c r="D30" s="207"/>
      <c r="E30" s="207"/>
      <c r="F30" s="236" t="s">
        <v>573</v>
      </c>
      <c r="G30" s="172"/>
      <c r="H30" s="173"/>
      <c r="I30" s="173"/>
      <c r="J30" s="209">
        <f>SUM(J26:J29)</f>
        <v>0</v>
      </c>
      <c r="K30" s="209"/>
      <c r="L30" s="485"/>
      <c r="M30" s="7"/>
      <c r="O30" s="569"/>
      <c r="P30" s="570"/>
      <c r="Q30" s="571"/>
    </row>
    <row r="31" spans="1:41" ht="33.75" x14ac:dyDescent="0.2">
      <c r="A31" s="1"/>
      <c r="B31" s="6"/>
      <c r="C31" s="580" t="s">
        <v>646</v>
      </c>
      <c r="D31" s="225" t="str">
        <f>VLOOKUP($P31,TOV!$A$4:$E$65536,2,FALSE)</f>
        <v>Shaping or levelling of minor excavations, batters and stockpiles, final trim, rock rake and deep rip</v>
      </c>
      <c r="E31" s="210" t="s">
        <v>515</v>
      </c>
      <c r="F31" s="226"/>
      <c r="G31" s="133" t="s">
        <v>47</v>
      </c>
      <c r="H31" s="212">
        <f>VLOOKUP($P31,TOV!$A$4:$E$65536,4,FALSE)</f>
        <v>1328.5108262753702</v>
      </c>
      <c r="I31" s="217"/>
      <c r="J31" s="228">
        <f t="shared" si="1"/>
        <v>0</v>
      </c>
      <c r="K31" s="229"/>
      <c r="L31" s="478" t="s">
        <v>602</v>
      </c>
      <c r="M31" s="7"/>
      <c r="O31" s="138">
        <f t="shared" ref="O31:O37" si="2">IF(I31="",0,1)</f>
        <v>0</v>
      </c>
      <c r="P31" s="139" t="s">
        <v>273</v>
      </c>
      <c r="Q31" s="140"/>
    </row>
    <row r="32" spans="1:41" ht="36" x14ac:dyDescent="0.2">
      <c r="A32" s="1"/>
      <c r="B32" s="6"/>
      <c r="C32" s="580"/>
      <c r="D32" s="180" t="str">
        <f>VLOOKUP($P32,TOV!$A$4:$E$65536,2,FALSE)</f>
        <v>Structural water management works, banks, drains, rock lined waterways, sediment dams</v>
      </c>
      <c r="E32" s="148" t="s">
        <v>515</v>
      </c>
      <c r="F32" s="181"/>
      <c r="G32" s="149" t="s">
        <v>47</v>
      </c>
      <c r="H32" s="156">
        <f>VLOOKUP($P32,TOV!$A$4:$E$65536,4,FALSE)</f>
        <v>2043.8628096544155</v>
      </c>
      <c r="I32" s="163"/>
      <c r="J32" s="136">
        <f t="shared" si="1"/>
        <v>0</v>
      </c>
      <c r="K32" s="137"/>
      <c r="L32" s="474" t="s">
        <v>603</v>
      </c>
      <c r="M32" s="7"/>
      <c r="O32" s="151">
        <f t="shared" si="2"/>
        <v>0</v>
      </c>
      <c r="P32" s="152" t="s">
        <v>388</v>
      </c>
      <c r="Q32" s="153"/>
    </row>
    <row r="33" spans="1:17" ht="20.25" x14ac:dyDescent="0.3">
      <c r="A33" s="1"/>
      <c r="B33" s="6"/>
      <c r="C33" s="580"/>
      <c r="D33" s="154" t="str">
        <f>VLOOKUP($P33,TOV!$A$4:$E$65536,2,FALSE)</f>
        <v>Clear and grub existing vegetation</v>
      </c>
      <c r="E33" s="148" t="s">
        <v>515</v>
      </c>
      <c r="F33" s="200"/>
      <c r="G33" s="149" t="s">
        <v>47</v>
      </c>
      <c r="H33" s="201">
        <f>VLOOKUP($P33,TOV!$A$4:$E$65536,4,FALSE)</f>
        <v>3412.5495599999995</v>
      </c>
      <c r="I33" s="220"/>
      <c r="J33" s="136">
        <f t="shared" si="1"/>
        <v>0</v>
      </c>
      <c r="K33" s="157"/>
      <c r="L33" s="483" t="s">
        <v>605</v>
      </c>
      <c r="M33" s="221"/>
      <c r="N33" s="222"/>
      <c r="O33" s="159">
        <f t="shared" si="2"/>
        <v>0</v>
      </c>
      <c r="P33" s="160" t="s">
        <v>606</v>
      </c>
      <c r="Q33" s="153"/>
    </row>
    <row r="34" spans="1:17" ht="22.5" x14ac:dyDescent="0.2">
      <c r="A34" s="1"/>
      <c r="B34" s="6"/>
      <c r="C34" s="580"/>
      <c r="D34" s="180" t="str">
        <f>VLOOKUP($P34,TOV!$A$4:$E$65536,2,FALSE)</f>
        <v>Reshape, deep rip and ameliorate sealed unsealed roads</v>
      </c>
      <c r="E34" s="148" t="s">
        <v>515</v>
      </c>
      <c r="F34" s="181"/>
      <c r="G34" s="149" t="s">
        <v>47</v>
      </c>
      <c r="H34" s="156">
        <f>VLOOKUP($P34,TOV!$A$4:$E$65536,4,FALSE)</f>
        <v>2554.8285120680189</v>
      </c>
      <c r="I34" s="163"/>
      <c r="J34" s="136">
        <f t="shared" si="1"/>
        <v>0</v>
      </c>
      <c r="K34" s="137"/>
      <c r="L34" s="474" t="s">
        <v>647</v>
      </c>
      <c r="M34" s="7"/>
      <c r="O34" s="151">
        <f t="shared" si="2"/>
        <v>0</v>
      </c>
      <c r="P34" s="152" t="s">
        <v>363</v>
      </c>
      <c r="Q34" s="153"/>
    </row>
    <row r="35" spans="1:17" ht="33.75" x14ac:dyDescent="0.2">
      <c r="A35" s="1"/>
      <c r="B35" s="6"/>
      <c r="C35" s="580"/>
      <c r="D35" s="180" t="str">
        <f>VLOOKUP($P35,TOV!$A$4:$E$65536,2,FALSE)</f>
        <v>Maintenance of the rehabilitated areas that are intended to be part of the ongoing closure of the site.</v>
      </c>
      <c r="E35" s="148" t="s">
        <v>515</v>
      </c>
      <c r="F35" s="181"/>
      <c r="G35" s="149" t="s">
        <v>47</v>
      </c>
      <c r="H35" s="156">
        <f>VLOOKUP($P35,TOV!$A$4:$E$65536,4,FALSE)</f>
        <v>664.25541313768508</v>
      </c>
      <c r="I35" s="163"/>
      <c r="J35" s="136">
        <f t="shared" si="1"/>
        <v>0</v>
      </c>
      <c r="K35" s="137"/>
      <c r="L35" s="474" t="s">
        <v>607</v>
      </c>
      <c r="M35" s="7"/>
      <c r="O35" s="151">
        <f t="shared" si="2"/>
        <v>0</v>
      </c>
      <c r="P35" s="152" t="s">
        <v>52</v>
      </c>
      <c r="Q35" s="153"/>
    </row>
    <row r="36" spans="1:17" ht="27" x14ac:dyDescent="0.2">
      <c r="A36" s="1"/>
      <c r="B36" s="6"/>
      <c r="C36" s="580"/>
      <c r="D36" s="180" t="str">
        <f>VLOOKUP($P36,TOV!$A$4:$E$65536,2,FALSE)</f>
        <v>Construct a standard stock fence around the site</v>
      </c>
      <c r="E36" s="148" t="s">
        <v>515</v>
      </c>
      <c r="F36" s="181"/>
      <c r="G36" s="149" t="s">
        <v>101</v>
      </c>
      <c r="H36" s="156">
        <f>VLOOKUP($P36,TOV!$A$4:$E$65536,4,FALSE)</f>
        <v>8.1754512386176614</v>
      </c>
      <c r="I36" s="163"/>
      <c r="J36" s="136">
        <f t="shared" si="1"/>
        <v>0</v>
      </c>
      <c r="K36" s="137"/>
      <c r="L36" s="474" t="s">
        <v>608</v>
      </c>
      <c r="M36" s="7"/>
      <c r="O36" s="151">
        <f t="shared" si="2"/>
        <v>0</v>
      </c>
      <c r="P36" s="152" t="s">
        <v>178</v>
      </c>
      <c r="Q36" s="153"/>
    </row>
    <row r="37" spans="1:17" ht="12.75" customHeight="1" x14ac:dyDescent="0.2">
      <c r="A37" s="1"/>
      <c r="B37" s="6"/>
      <c r="C37" s="580"/>
      <c r="D37" s="621" t="str">
        <f>VLOOKUP($P37,TOV!$A$4:$E$65536,2,FALSE)</f>
        <v>Source (where availiable onsite), cart, spread and lightly rip topsoil</v>
      </c>
      <c r="E37" s="623" t="s">
        <v>515</v>
      </c>
      <c r="F37" s="625"/>
      <c r="G37" s="627" t="s">
        <v>82</v>
      </c>
      <c r="H37" s="629" t="str">
        <f>VLOOKUP($P37,TOV!$A$4:$E$65536,4,FALSE)</f>
        <v>Select from List</v>
      </c>
      <c r="I37" s="659"/>
      <c r="J37" s="633" t="str">
        <f>IF($E37="Y",IF(I37=0,IF(H37="Select From List","",F37*H37),F37*I37),"")</f>
        <v/>
      </c>
      <c r="K37" s="137" t="s">
        <v>514</v>
      </c>
      <c r="L37" s="657" t="s">
        <v>609</v>
      </c>
      <c r="M37" s="658"/>
      <c r="N37" s="591"/>
      <c r="O37" s="592">
        <f t="shared" si="2"/>
        <v>0</v>
      </c>
      <c r="P37" s="594" t="str">
        <f>IF(Q37=1,"X044",IF(Q37=2,"X045",IF(Q37=3,"X046",IF(Q37=4,"x047",IF(Q37=5,"X048","X044")))))</f>
        <v>X044</v>
      </c>
      <c r="Q37" s="574">
        <f>VLOOKUP(K37,Select_Haul_Distance_Index,2,FALSE)</f>
        <v>1</v>
      </c>
    </row>
    <row r="38" spans="1:17" ht="27" customHeight="1" x14ac:dyDescent="0.2">
      <c r="A38" s="1"/>
      <c r="B38" s="6"/>
      <c r="C38" s="580"/>
      <c r="D38" s="621"/>
      <c r="E38" s="623"/>
      <c r="F38" s="625"/>
      <c r="G38" s="627"/>
      <c r="H38" s="629"/>
      <c r="I38" s="659"/>
      <c r="J38" s="633"/>
      <c r="K38" s="137"/>
      <c r="L38" s="657"/>
      <c r="M38" s="658"/>
      <c r="N38" s="591"/>
      <c r="O38" s="593"/>
      <c r="P38" s="595"/>
      <c r="Q38" s="575"/>
    </row>
    <row r="39" spans="1:17" ht="27" customHeight="1" x14ac:dyDescent="0.2">
      <c r="A39" s="1"/>
      <c r="B39" s="6"/>
      <c r="C39" s="580"/>
      <c r="D39" s="154" t="str">
        <f>VLOOKUP($P39,TOV!$A$4:$E$65536,2,FALSE)</f>
        <v>Purchase of topsoil where there is a shortage on site</v>
      </c>
      <c r="E39" s="148" t="s">
        <v>515</v>
      </c>
      <c r="F39" s="200"/>
      <c r="G39" s="149" t="s">
        <v>38</v>
      </c>
      <c r="H39" s="201">
        <f>VLOOKUP($P39,TOV!$A$4:$E$65536,4,FALSE)</f>
        <v>34.622540861999994</v>
      </c>
      <c r="I39" s="220"/>
      <c r="J39" s="136">
        <f t="shared" ref="J39" si="3">IF($E39="Y",IF(I39=0,F39*H39,F39*I39),"")</f>
        <v>0</v>
      </c>
      <c r="K39" s="157"/>
      <c r="L39" s="475" t="s">
        <v>610</v>
      </c>
      <c r="M39" s="162"/>
      <c r="N39" s="16"/>
      <c r="O39" s="159">
        <f t="shared" ref="O39" si="4">IF(I39="",0,1)</f>
        <v>0</v>
      </c>
      <c r="P39" s="160" t="s">
        <v>611</v>
      </c>
      <c r="Q39" s="224"/>
    </row>
    <row r="40" spans="1:17" ht="27" x14ac:dyDescent="0.2">
      <c r="A40" s="1"/>
      <c r="B40" s="6"/>
      <c r="C40" s="580"/>
      <c r="D40" s="180" t="str">
        <f>VLOOKUP($P40,TOV!$A$4:$E$65536,2,FALSE)</f>
        <v>Soil amelioration (adding gypsum, lime, etc)</v>
      </c>
      <c r="E40" s="148" t="s">
        <v>515</v>
      </c>
      <c r="F40" s="181"/>
      <c r="G40" s="149" t="s">
        <v>47</v>
      </c>
      <c r="H40" s="156">
        <f>VLOOKUP($P40,TOV!$A$4:$E$65536,4,FALSE)</f>
        <v>510.96570241360388</v>
      </c>
      <c r="I40" s="163"/>
      <c r="J40" s="136">
        <f t="shared" si="1"/>
        <v>0</v>
      </c>
      <c r="K40" s="137"/>
      <c r="L40" s="474" t="s">
        <v>612</v>
      </c>
      <c r="M40" s="7"/>
      <c r="O40" s="151">
        <f>IF(I40="",0,1)</f>
        <v>0</v>
      </c>
      <c r="P40" s="152" t="s">
        <v>119</v>
      </c>
      <c r="Q40" s="153"/>
    </row>
    <row r="41" spans="1:17" ht="63" x14ac:dyDescent="0.2">
      <c r="A41" s="1"/>
      <c r="B41" s="6"/>
      <c r="C41" s="580"/>
      <c r="D41" s="180" t="str">
        <f>VLOOKUP($P41,TOV!$A$4:$E$65536,2,FALSE)</f>
        <v>Direct seeding (native tree species OR using native grasses), with single application of fertiliser</v>
      </c>
      <c r="E41" s="148" t="s">
        <v>515</v>
      </c>
      <c r="F41" s="181"/>
      <c r="G41" s="149" t="s">
        <v>47</v>
      </c>
      <c r="H41" s="156">
        <f>VLOOKUP($P41,TOV!$A$4:$E$65536,4,FALSE)</f>
        <v>3576.7599168952274</v>
      </c>
      <c r="I41" s="163"/>
      <c r="J41" s="136">
        <f t="shared" si="1"/>
        <v>0</v>
      </c>
      <c r="K41" s="137"/>
      <c r="L41" s="474" t="s">
        <v>613</v>
      </c>
      <c r="M41" s="7"/>
      <c r="O41" s="151">
        <f>IF(I41="",0,1)</f>
        <v>0</v>
      </c>
      <c r="P41" s="152" t="s">
        <v>121</v>
      </c>
      <c r="Q41" s="153"/>
    </row>
    <row r="42" spans="1:17" ht="63" x14ac:dyDescent="0.2">
      <c r="A42" s="1"/>
      <c r="B42" s="6"/>
      <c r="C42" s="580"/>
      <c r="D42" s="180" t="str">
        <f>VLOOKUP($P42,TOV!$A$4:$E$65536,2,FALSE)</f>
        <v>Direct seeding (pasture grass species), with single application of fertiliser</v>
      </c>
      <c r="E42" s="148" t="s">
        <v>515</v>
      </c>
      <c r="F42" s="181"/>
      <c r="G42" s="149" t="s">
        <v>47</v>
      </c>
      <c r="H42" s="156">
        <f>VLOOKUP($P42,TOV!$A$4:$E$65536,4,FALSE)</f>
        <v>919.73826434448688</v>
      </c>
      <c r="I42" s="163"/>
      <c r="J42" s="136">
        <f t="shared" si="1"/>
        <v>0</v>
      </c>
      <c r="K42" s="137"/>
      <c r="L42" s="474" t="s">
        <v>614</v>
      </c>
      <c r="M42" s="7"/>
      <c r="O42" s="151">
        <f>IF(I42="",0,1)</f>
        <v>0</v>
      </c>
      <c r="P42" s="152" t="s">
        <v>123</v>
      </c>
      <c r="Q42" s="153"/>
    </row>
    <row r="43" spans="1:17" ht="18.75" thickBot="1" x14ac:dyDescent="0.25">
      <c r="A43" s="1"/>
      <c r="B43" s="6"/>
      <c r="C43" s="580"/>
      <c r="D43" s="180" t="str">
        <f>VLOOKUP($P43,TOV!$A$4:$E$65536,2,FALSE)</f>
        <v>Planting tubestock (&lt; 15cm)</v>
      </c>
      <c r="E43" s="148" t="s">
        <v>515</v>
      </c>
      <c r="F43" s="181"/>
      <c r="G43" s="149" t="s">
        <v>41</v>
      </c>
      <c r="H43" s="156">
        <f>VLOOKUP($P43,TOV!$A$4:$E$65536,4,FALSE)</f>
        <v>8.6604356341288788</v>
      </c>
      <c r="I43" s="163"/>
      <c r="J43" s="136">
        <f t="shared" si="1"/>
        <v>0</v>
      </c>
      <c r="K43" s="137"/>
      <c r="L43" s="474" t="s">
        <v>615</v>
      </c>
      <c r="M43" s="7"/>
      <c r="O43" s="151">
        <f>IF(I43="",0,1)</f>
        <v>0</v>
      </c>
      <c r="P43" s="152" t="s">
        <v>129</v>
      </c>
      <c r="Q43" s="153"/>
    </row>
    <row r="44" spans="1:17" ht="13.5" thickBot="1" x14ac:dyDescent="0.25">
      <c r="A44" s="1"/>
      <c r="B44" s="6"/>
      <c r="C44" s="205"/>
      <c r="D44" s="206"/>
      <c r="E44" s="207"/>
      <c r="F44" s="236" t="s">
        <v>573</v>
      </c>
      <c r="G44" s="236"/>
      <c r="H44" s="236"/>
      <c r="I44" s="208"/>
      <c r="J44" s="209">
        <f>SUM(J31:J43)</f>
        <v>0</v>
      </c>
      <c r="K44" s="209"/>
      <c r="L44" s="481"/>
      <c r="M44" s="7"/>
      <c r="O44" s="649"/>
      <c r="P44" s="650"/>
      <c r="Q44" s="651"/>
    </row>
    <row r="45" spans="1:17" ht="12.75" x14ac:dyDescent="0.2">
      <c r="A45" s="1"/>
      <c r="B45" s="6"/>
      <c r="C45" s="581" t="s">
        <v>621</v>
      </c>
      <c r="D45" s="225" t="s">
        <v>622</v>
      </c>
      <c r="E45" s="133"/>
      <c r="F45" s="237"/>
      <c r="G45" s="133"/>
      <c r="H45" s="652"/>
      <c r="I45" s="135"/>
      <c r="J45" s="238">
        <f>F45*I45</f>
        <v>0</v>
      </c>
      <c r="K45" s="238"/>
      <c r="L45" s="478" t="s">
        <v>623</v>
      </c>
      <c r="M45" s="7"/>
      <c r="O45" s="138">
        <f>IF(I45="",0,1)</f>
        <v>0</v>
      </c>
      <c r="P45" s="266"/>
      <c r="Q45" s="140"/>
    </row>
    <row r="46" spans="1:17" ht="12.75" x14ac:dyDescent="0.2">
      <c r="A46" s="1"/>
      <c r="B46" s="6"/>
      <c r="C46" s="581"/>
      <c r="D46" s="180" t="s">
        <v>624</v>
      </c>
      <c r="E46" s="149"/>
      <c r="F46" s="240"/>
      <c r="G46" s="149"/>
      <c r="H46" s="653"/>
      <c r="I46" s="163"/>
      <c r="J46" s="241">
        <f>F46*I46</f>
        <v>0</v>
      </c>
      <c r="K46" s="241"/>
      <c r="L46" s="474" t="s">
        <v>623</v>
      </c>
      <c r="M46" s="7"/>
      <c r="O46" s="151">
        <f>IF(I46="",0,1)</f>
        <v>0</v>
      </c>
      <c r="P46" s="267"/>
      <c r="Q46" s="153"/>
    </row>
    <row r="47" spans="1:17" ht="13.5" thickBot="1" x14ac:dyDescent="0.25">
      <c r="A47" s="1"/>
      <c r="B47" s="6"/>
      <c r="C47" s="581"/>
      <c r="D47" s="183" t="s">
        <v>625</v>
      </c>
      <c r="E47" s="164"/>
      <c r="F47" s="243"/>
      <c r="G47" s="164"/>
      <c r="H47" s="654"/>
      <c r="I47" s="165"/>
      <c r="J47" s="268">
        <f>F47*I47</f>
        <v>0</v>
      </c>
      <c r="K47" s="244"/>
      <c r="L47" s="476" t="s">
        <v>623</v>
      </c>
      <c r="M47" s="7"/>
      <c r="O47" s="166">
        <f>IF(I47="",0,1)</f>
        <v>0</v>
      </c>
      <c r="P47" s="269"/>
      <c r="Q47" s="168"/>
    </row>
    <row r="48" spans="1:17" ht="13.5" thickBot="1" x14ac:dyDescent="0.25">
      <c r="A48" s="1"/>
      <c r="B48" s="6"/>
      <c r="C48" s="260"/>
      <c r="D48" s="270"/>
      <c r="E48" s="270"/>
      <c r="F48" s="262" t="s">
        <v>573</v>
      </c>
      <c r="G48" s="263"/>
      <c r="H48" s="264"/>
      <c r="I48" s="264"/>
      <c r="J48" s="265">
        <f>SUM(J45:J47)</f>
        <v>0</v>
      </c>
      <c r="K48" s="265"/>
      <c r="L48" s="477"/>
      <c r="M48" s="7"/>
      <c r="O48" s="569"/>
      <c r="P48" s="570"/>
      <c r="Q48" s="571"/>
    </row>
    <row r="49" spans="1:17" ht="15" x14ac:dyDescent="0.2">
      <c r="A49" s="1"/>
      <c r="B49" s="6"/>
      <c r="C49" s="214"/>
      <c r="D49" s="214"/>
      <c r="E49" s="214"/>
      <c r="F49" s="271"/>
      <c r="G49" s="214"/>
      <c r="H49" s="214"/>
      <c r="I49" s="214"/>
      <c r="J49" s="214"/>
      <c r="K49" s="214"/>
      <c r="L49" s="491"/>
      <c r="M49" s="7"/>
      <c r="O49" s="1"/>
      <c r="P49" s="1"/>
      <c r="Q49" s="1"/>
    </row>
    <row r="50" spans="1:17" ht="15.75" x14ac:dyDescent="0.2">
      <c r="A50" s="1"/>
      <c r="B50" s="6"/>
      <c r="C50" s="246" t="s">
        <v>627</v>
      </c>
      <c r="D50" s="655" t="s">
        <v>628</v>
      </c>
      <c r="E50" s="655"/>
      <c r="F50" s="656"/>
      <c r="G50" s="656"/>
      <c r="H50" s="656"/>
      <c r="I50" s="273"/>
      <c r="J50" s="274">
        <f>SUM(J48,J44,J30,J25)</f>
        <v>0</v>
      </c>
      <c r="K50" s="274"/>
      <c r="L50" s="491"/>
      <c r="M50" s="7"/>
      <c r="O50" s="1"/>
      <c r="P50" s="1"/>
      <c r="Q50" s="1"/>
    </row>
    <row r="51" spans="1:17" ht="15" x14ac:dyDescent="0.2">
      <c r="A51" s="1"/>
      <c r="B51" s="50"/>
      <c r="C51" s="275"/>
      <c r="D51" s="275"/>
      <c r="E51" s="275"/>
      <c r="F51" s="276"/>
      <c r="G51" s="275"/>
      <c r="H51" s="275"/>
      <c r="I51" s="275"/>
      <c r="J51" s="275"/>
      <c r="K51" s="275"/>
      <c r="L51" s="492"/>
      <c r="M51" s="33"/>
      <c r="O51" s="1"/>
      <c r="P51" s="1"/>
      <c r="Q51" s="1"/>
    </row>
    <row r="52" spans="1:17" ht="15" x14ac:dyDescent="0.25">
      <c r="A52" s="1"/>
      <c r="B52" s="1"/>
      <c r="C52" s="1"/>
      <c r="D52" s="1"/>
      <c r="E52" s="1"/>
      <c r="F52" s="1"/>
      <c r="G52" s="1"/>
      <c r="H52" s="1"/>
      <c r="I52" s="1"/>
      <c r="J52" s="1"/>
      <c r="K52" s="1"/>
      <c r="L52" s="457"/>
      <c r="M52" s="1"/>
      <c r="O52" s="1"/>
      <c r="P52" s="1"/>
      <c r="Q52" s="1"/>
    </row>
  </sheetData>
  <mergeCells count="54">
    <mergeCell ref="C3:L3"/>
    <mergeCell ref="C8:D17"/>
    <mergeCell ref="F8:I8"/>
    <mergeCell ref="J8:K8"/>
    <mergeCell ref="F9:I9"/>
    <mergeCell ref="J9:K9"/>
    <mergeCell ref="F10:I10"/>
    <mergeCell ref="J10:K10"/>
    <mergeCell ref="F11:I11"/>
    <mergeCell ref="J11:K11"/>
    <mergeCell ref="F12:I12"/>
    <mergeCell ref="J12:K12"/>
    <mergeCell ref="F13:I13"/>
    <mergeCell ref="J13:K13"/>
    <mergeCell ref="F14:I14"/>
    <mergeCell ref="J14:K14"/>
    <mergeCell ref="Q20:Q21"/>
    <mergeCell ref="F15:I17"/>
    <mergeCell ref="J15:K17"/>
    <mergeCell ref="C20:C24"/>
    <mergeCell ref="D20:D21"/>
    <mergeCell ref="E20:E21"/>
    <mergeCell ref="F20:F21"/>
    <mergeCell ref="G20:G21"/>
    <mergeCell ref="H20:H21"/>
    <mergeCell ref="I20:I21"/>
    <mergeCell ref="J20:J21"/>
    <mergeCell ref="L20:L21"/>
    <mergeCell ref="M20:M21"/>
    <mergeCell ref="N20:N21"/>
    <mergeCell ref="O20:O21"/>
    <mergeCell ref="P20:P21"/>
    <mergeCell ref="O25:Q25"/>
    <mergeCell ref="C26:C29"/>
    <mergeCell ref="O30:Q30"/>
    <mergeCell ref="C31:C43"/>
    <mergeCell ref="D37:D38"/>
    <mergeCell ref="E37:E38"/>
    <mergeCell ref="F37:F38"/>
    <mergeCell ref="G37:G38"/>
    <mergeCell ref="H37:H38"/>
    <mergeCell ref="I37:I38"/>
    <mergeCell ref="Q37:Q38"/>
    <mergeCell ref="D50:H50"/>
    <mergeCell ref="J37:J38"/>
    <mergeCell ref="L37:L38"/>
    <mergeCell ref="M37:M38"/>
    <mergeCell ref="N37:N38"/>
    <mergeCell ref="O44:Q44"/>
    <mergeCell ref="C45:C47"/>
    <mergeCell ref="H45:H47"/>
    <mergeCell ref="O48:Q48"/>
    <mergeCell ref="O37:O38"/>
    <mergeCell ref="P37:P38"/>
  </mergeCells>
  <conditionalFormatting sqref="F20:F24">
    <cfRule type="expression" dxfId="93" priority="14" stopIfTrue="1">
      <formula>$E20="N"</formula>
    </cfRule>
    <cfRule type="expression" dxfId="92" priority="15" stopIfTrue="1">
      <formula>$E20="Y"</formula>
    </cfRule>
  </conditionalFormatting>
  <conditionalFormatting sqref="F26:F29">
    <cfRule type="expression" dxfId="91" priority="10" stopIfTrue="1">
      <formula>$E26="N"</formula>
    </cfRule>
    <cfRule type="expression" dxfId="90" priority="11" stopIfTrue="1">
      <formula>$E26="Y"</formula>
    </cfRule>
  </conditionalFormatting>
  <conditionalFormatting sqref="F31:F43">
    <cfRule type="expression" dxfId="89" priority="2" stopIfTrue="1">
      <formula>$E31="N"</formula>
    </cfRule>
    <cfRule type="expression" dxfId="88" priority="3" stopIfTrue="1">
      <formula>$E31="Y"</formula>
    </cfRule>
  </conditionalFormatting>
  <conditionalFormatting sqref="J20:J24">
    <cfRule type="expression" dxfId="87" priority="13" stopIfTrue="1">
      <formula>$O20=1</formula>
    </cfRule>
  </conditionalFormatting>
  <conditionalFormatting sqref="J26:J29">
    <cfRule type="expression" dxfId="86" priority="9" stopIfTrue="1">
      <formula>$O26=1</formula>
    </cfRule>
  </conditionalFormatting>
  <conditionalFormatting sqref="J31:J43">
    <cfRule type="expression" dxfId="85" priority="1" stopIfTrue="1">
      <formula>$O31=1</formula>
    </cfRule>
  </conditionalFormatting>
  <conditionalFormatting sqref="K20:K24">
    <cfRule type="expression" dxfId="84" priority="16" stopIfTrue="1">
      <formula>$O20=1</formula>
    </cfRule>
  </conditionalFormatting>
  <conditionalFormatting sqref="K26:K29">
    <cfRule type="expression" dxfId="83" priority="12" stopIfTrue="1">
      <formula>$O26=1</formula>
    </cfRule>
  </conditionalFormatting>
  <conditionalFormatting sqref="K31:K43">
    <cfRule type="expression" dxfId="82" priority="4" stopIfTrue="1">
      <formula>$O31=1</formula>
    </cfRule>
  </conditionalFormatting>
  <dataValidations count="2">
    <dataValidation type="list" allowBlank="1" showInputMessage="1" showErrorMessage="1" sqref="E26:E29 E20:E24 E31:E43" xr:uid="{18CEEB42-AF6E-47FC-9403-9AC7E5D5B03B}">
      <formula1>Y_N</formula1>
    </dataValidation>
    <dataValidation type="list" allowBlank="1" showInputMessage="1" showErrorMessage="1" sqref="K37 K20" xr:uid="{AFABA48E-67F3-4BCA-9BAE-8054229AE986}">
      <formula1>Select_Haul_Distance</formula1>
    </dataValidation>
  </dataValidations>
  <printOptions horizontalCentered="1"/>
  <pageMargins left="0.39370078740157483" right="0.39370078740157483" top="0.59055118110236227" bottom="0.59055118110236227" header="0.39370078740157483" footer="0.39370078740157483"/>
  <pageSetup paperSize="8" orientation="landscape" r:id="rId1"/>
  <headerFooter alignWithMargins="0">
    <oddFooter>&amp;C_x000D_&amp;1#&amp;"Calibri"&amp;12&amp;K000000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F3BD-2049-4AE4-AD41-DE9E6962FA10}">
  <sheetPr codeName="Sheet21"/>
  <dimension ref="A1:AO52"/>
  <sheetViews>
    <sheetView workbookViewId="0">
      <selection activeCell="C31" sqref="C31:M71"/>
    </sheetView>
  </sheetViews>
  <sheetFormatPr defaultColWidth="0" defaultRowHeight="0" customHeight="1" zeroHeight="1" x14ac:dyDescent="0.25"/>
  <cols>
    <col min="1" max="2" width="2.42578125" style="2" customWidth="1"/>
    <col min="3" max="3" width="25.85546875" style="2" customWidth="1"/>
    <col min="4" max="4" width="33.7109375" style="2" customWidth="1"/>
    <col min="5" max="5" width="9" style="2" customWidth="1"/>
    <col min="6" max="6" width="7.42578125" style="2" customWidth="1"/>
    <col min="7" max="7" width="4" style="2" customWidth="1"/>
    <col min="8" max="9" width="11.140625" style="2" customWidth="1"/>
    <col min="10" max="10" width="15.7109375" style="2" customWidth="1"/>
    <col min="11" max="11" width="28.7109375" style="2" customWidth="1"/>
    <col min="12" max="12" width="40.140625" customWidth="1"/>
    <col min="13" max="13" width="2.140625" style="2" customWidth="1"/>
    <col min="14" max="14" width="2.42578125" style="1" customWidth="1"/>
    <col min="15" max="17" width="4.5703125" style="2" hidden="1" customWidth="1"/>
    <col min="18" max="18" width="2.42578125" style="1" hidden="1" customWidth="1"/>
    <col min="19" max="16384" width="8.85546875" style="2" hidden="1"/>
  </cols>
  <sheetData>
    <row r="1" spans="1:18" ht="15" x14ac:dyDescent="0.25">
      <c r="A1" s="1"/>
      <c r="B1" s="1"/>
      <c r="C1" s="1"/>
      <c r="D1" s="1"/>
      <c r="E1" s="1"/>
      <c r="F1" s="1"/>
      <c r="G1" s="1"/>
      <c r="H1" s="1"/>
      <c r="I1" s="1"/>
      <c r="J1" s="1"/>
      <c r="K1" s="1"/>
      <c r="L1" s="457"/>
      <c r="M1" s="1"/>
      <c r="O1" s="1"/>
      <c r="P1" s="1"/>
      <c r="Q1" s="1"/>
    </row>
    <row r="2" spans="1:18" ht="15" x14ac:dyDescent="0.25">
      <c r="A2" s="1"/>
      <c r="B2" s="3"/>
      <c r="C2" s="4"/>
      <c r="D2" s="4"/>
      <c r="E2" s="4"/>
      <c r="F2" s="4"/>
      <c r="G2" s="4"/>
      <c r="H2" s="4"/>
      <c r="I2" s="4"/>
      <c r="J2" s="4"/>
      <c r="K2" s="4"/>
      <c r="L2" s="458"/>
      <c r="M2" s="5"/>
      <c r="O2" s="1"/>
      <c r="P2" s="1"/>
      <c r="Q2" s="1"/>
    </row>
    <row r="3" spans="1:18" ht="23.25" thickBot="1" x14ac:dyDescent="0.25">
      <c r="A3" s="1"/>
      <c r="B3" s="6"/>
      <c r="C3" s="639" t="s">
        <v>540</v>
      </c>
      <c r="D3" s="639"/>
      <c r="E3" s="639"/>
      <c r="F3" s="639"/>
      <c r="G3" s="639"/>
      <c r="H3" s="639"/>
      <c r="I3" s="639"/>
      <c r="J3" s="639"/>
      <c r="K3" s="639"/>
      <c r="L3" s="639"/>
      <c r="M3" s="7"/>
      <c r="O3" s="1"/>
      <c r="P3" s="1"/>
      <c r="Q3" s="1"/>
    </row>
    <row r="4" spans="1:18" ht="22.5" x14ac:dyDescent="0.2">
      <c r="A4" s="1"/>
      <c r="B4" s="6"/>
      <c r="C4" s="89" t="s">
        <v>649</v>
      </c>
      <c r="D4" s="90"/>
      <c r="E4" s="90"/>
      <c r="F4" s="91"/>
      <c r="G4" s="91"/>
      <c r="H4" s="92"/>
      <c r="I4" s="92"/>
      <c r="J4" s="92"/>
      <c r="K4" s="93" t="s">
        <v>542</v>
      </c>
      <c r="L4" s="463">
        <f>Total_Liability</f>
        <v>3235.6385328442129</v>
      </c>
      <c r="M4" s="7"/>
      <c r="O4" s="1"/>
      <c r="P4" s="1"/>
      <c r="Q4" s="1"/>
    </row>
    <row r="5" spans="1:18" s="74" customFormat="1" ht="12.75" customHeight="1" x14ac:dyDescent="0.2">
      <c r="A5" s="102"/>
      <c r="B5" s="218"/>
      <c r="C5" s="96"/>
      <c r="D5" s="97"/>
      <c r="E5" s="97"/>
      <c r="F5" s="98"/>
      <c r="G5" s="98"/>
      <c r="H5" s="99"/>
      <c r="I5" s="99"/>
      <c r="J5" s="99"/>
      <c r="K5" s="100" t="s">
        <v>543</v>
      </c>
      <c r="L5" s="464">
        <f>J50</f>
        <v>0</v>
      </c>
      <c r="M5" s="162"/>
      <c r="N5" s="102"/>
      <c r="O5" s="102"/>
      <c r="P5" s="102"/>
      <c r="Q5" s="102"/>
      <c r="R5" s="102"/>
    </row>
    <row r="6" spans="1:18" ht="12.75" customHeight="1" x14ac:dyDescent="0.25">
      <c r="A6" s="1"/>
      <c r="B6" s="6"/>
      <c r="C6" s="105" t="s">
        <v>629</v>
      </c>
      <c r="D6" s="106"/>
      <c r="E6" s="106"/>
      <c r="G6" s="107"/>
      <c r="H6" s="107"/>
      <c r="J6" s="108"/>
      <c r="K6" s="1"/>
      <c r="L6" s="457"/>
      <c r="M6" s="7"/>
      <c r="O6" s="1"/>
      <c r="P6" s="1"/>
      <c r="Q6" s="1"/>
    </row>
    <row r="7" spans="1:18" ht="12.75" customHeight="1" thickBot="1" x14ac:dyDescent="0.25">
      <c r="A7" s="1"/>
      <c r="B7" s="6"/>
      <c r="C7" s="112" t="s">
        <v>544</v>
      </c>
      <c r="D7" s="97"/>
      <c r="E7" s="97"/>
      <c r="F7" s="112" t="s">
        <v>630</v>
      </c>
      <c r="G7" s="98"/>
      <c r="H7" s="107"/>
      <c r="I7" s="1"/>
      <c r="J7" s="1"/>
      <c r="K7" s="1"/>
      <c r="L7" s="465" t="s">
        <v>545</v>
      </c>
      <c r="M7" s="7"/>
      <c r="O7" s="1"/>
      <c r="P7" s="1"/>
      <c r="Q7" s="1"/>
    </row>
    <row r="8" spans="1:18" ht="12.75" customHeight="1" x14ac:dyDescent="0.2">
      <c r="A8" s="1"/>
      <c r="B8" s="6"/>
      <c r="C8" s="679"/>
      <c r="D8" s="680"/>
      <c r="E8" s="114"/>
      <c r="F8" s="646" t="s">
        <v>631</v>
      </c>
      <c r="G8" s="646"/>
      <c r="H8" s="646"/>
      <c r="I8" s="660"/>
      <c r="J8" s="685"/>
      <c r="K8" s="686"/>
      <c r="L8" s="466" t="s">
        <v>546</v>
      </c>
      <c r="M8" s="7"/>
      <c r="O8" s="1"/>
      <c r="P8" s="1"/>
      <c r="Q8" s="1"/>
    </row>
    <row r="9" spans="1:18" ht="12.75" customHeight="1" x14ac:dyDescent="0.2">
      <c r="A9" s="1"/>
      <c r="B9" s="6"/>
      <c r="C9" s="681"/>
      <c r="D9" s="682"/>
      <c r="E9" s="114"/>
      <c r="F9" s="646" t="s">
        <v>632</v>
      </c>
      <c r="G9" s="646"/>
      <c r="H9" s="646"/>
      <c r="I9" s="660"/>
      <c r="J9" s="687"/>
      <c r="K9" s="688"/>
      <c r="L9" s="467" t="s">
        <v>547</v>
      </c>
      <c r="M9" s="7"/>
      <c r="O9" s="1"/>
      <c r="P9" s="1"/>
      <c r="Q9" s="1"/>
    </row>
    <row r="10" spans="1:18" ht="12.75" customHeight="1" x14ac:dyDescent="0.2">
      <c r="A10" s="1"/>
      <c r="B10" s="6"/>
      <c r="C10" s="681"/>
      <c r="D10" s="682"/>
      <c r="E10" s="114"/>
      <c r="F10" s="646" t="s">
        <v>633</v>
      </c>
      <c r="G10" s="646"/>
      <c r="H10" s="646"/>
      <c r="I10" s="660"/>
      <c r="J10" s="687"/>
      <c r="K10" s="688"/>
      <c r="L10" s="468" t="s">
        <v>548</v>
      </c>
      <c r="M10" s="7"/>
      <c r="O10" s="1"/>
      <c r="P10" s="1"/>
      <c r="Q10" s="1"/>
    </row>
    <row r="11" spans="1:18" ht="12.75" customHeight="1" x14ac:dyDescent="0.2">
      <c r="A11" s="1"/>
      <c r="B11" s="6"/>
      <c r="C11" s="681"/>
      <c r="D11" s="682"/>
      <c r="E11" s="114"/>
      <c r="F11" s="646" t="s">
        <v>634</v>
      </c>
      <c r="G11" s="646"/>
      <c r="H11" s="646"/>
      <c r="I11" s="660"/>
      <c r="J11" s="687"/>
      <c r="K11" s="688"/>
      <c r="L11" s="469" t="s">
        <v>549</v>
      </c>
      <c r="M11" s="7"/>
      <c r="O11" s="1"/>
      <c r="P11" s="1"/>
      <c r="Q11" s="1"/>
    </row>
    <row r="12" spans="1:18" ht="12.75" customHeight="1" x14ac:dyDescent="0.2">
      <c r="A12" s="1"/>
      <c r="B12" s="6"/>
      <c r="C12" s="681"/>
      <c r="D12" s="682"/>
      <c r="E12" s="97"/>
      <c r="F12" s="646" t="s">
        <v>635</v>
      </c>
      <c r="G12" s="646"/>
      <c r="H12" s="646"/>
      <c r="I12" s="660"/>
      <c r="J12" s="687"/>
      <c r="K12" s="688"/>
      <c r="L12" s="488"/>
      <c r="M12" s="7"/>
      <c r="O12" s="1"/>
      <c r="P12" s="1"/>
      <c r="Q12" s="1"/>
    </row>
    <row r="13" spans="1:18" ht="12.75" customHeight="1" x14ac:dyDescent="0.2">
      <c r="A13" s="1"/>
      <c r="B13" s="6"/>
      <c r="C13" s="681"/>
      <c r="D13" s="682"/>
      <c r="E13" s="97"/>
      <c r="F13" s="646" t="s">
        <v>636</v>
      </c>
      <c r="G13" s="646"/>
      <c r="H13" s="646"/>
      <c r="I13" s="660"/>
      <c r="J13" s="687"/>
      <c r="K13" s="688"/>
      <c r="L13" s="488"/>
      <c r="M13" s="7"/>
      <c r="O13" s="1"/>
      <c r="P13" s="1"/>
      <c r="Q13" s="1"/>
    </row>
    <row r="14" spans="1:18" ht="12.75" customHeight="1" x14ac:dyDescent="0.2">
      <c r="A14" s="1"/>
      <c r="B14" s="6"/>
      <c r="C14" s="681"/>
      <c r="D14" s="682"/>
      <c r="E14" s="250"/>
      <c r="F14" s="646" t="s">
        <v>637</v>
      </c>
      <c r="G14" s="646"/>
      <c r="H14" s="646"/>
      <c r="I14" s="660"/>
      <c r="J14" s="687"/>
      <c r="K14" s="688"/>
      <c r="L14" s="488"/>
      <c r="M14" s="7"/>
      <c r="O14" s="1"/>
      <c r="P14" s="1"/>
      <c r="Q14" s="1"/>
    </row>
    <row r="15" spans="1:18" ht="12.75" customHeight="1" x14ac:dyDescent="0.2">
      <c r="A15" s="1"/>
      <c r="B15" s="6"/>
      <c r="C15" s="681"/>
      <c r="D15" s="682"/>
      <c r="E15" s="97"/>
      <c r="F15" s="646" t="s">
        <v>638</v>
      </c>
      <c r="G15" s="646"/>
      <c r="H15" s="646"/>
      <c r="I15" s="660"/>
      <c r="J15" s="661"/>
      <c r="K15" s="662"/>
      <c r="L15" s="488" t="s">
        <v>639</v>
      </c>
      <c r="M15" s="7"/>
      <c r="O15" s="1"/>
      <c r="P15" s="1"/>
      <c r="Q15" s="1"/>
    </row>
    <row r="16" spans="1:18" ht="12.75" customHeight="1" x14ac:dyDescent="0.2">
      <c r="A16" s="1"/>
      <c r="B16" s="6"/>
      <c r="C16" s="681"/>
      <c r="D16" s="682"/>
      <c r="E16" s="112"/>
      <c r="F16" s="646"/>
      <c r="G16" s="646"/>
      <c r="H16" s="646"/>
      <c r="I16" s="660"/>
      <c r="J16" s="663"/>
      <c r="K16" s="664"/>
      <c r="L16" s="488"/>
      <c r="M16" s="7"/>
      <c r="O16" s="1"/>
      <c r="P16" s="1"/>
      <c r="Q16" s="1"/>
    </row>
    <row r="17" spans="1:41" ht="12.75" customHeight="1" thickBot="1" x14ac:dyDescent="0.25">
      <c r="A17" s="1"/>
      <c r="B17" s="6"/>
      <c r="C17" s="683"/>
      <c r="D17" s="684"/>
      <c r="E17" s="112"/>
      <c r="F17" s="646"/>
      <c r="G17" s="646"/>
      <c r="H17" s="646"/>
      <c r="I17" s="660"/>
      <c r="J17" s="665"/>
      <c r="K17" s="666"/>
      <c r="L17" s="488"/>
      <c r="M17" s="7"/>
      <c r="O17" s="1"/>
      <c r="P17" s="1"/>
      <c r="Q17" s="1"/>
    </row>
    <row r="18" spans="1:41" ht="12.75" customHeight="1" thickBot="1" x14ac:dyDescent="0.25">
      <c r="A18" s="1"/>
      <c r="B18" s="6"/>
      <c r="C18" s="122"/>
      <c r="D18" s="1"/>
      <c r="E18" s="46"/>
      <c r="F18" s="98"/>
      <c r="G18" s="251"/>
      <c r="H18" s="1"/>
      <c r="I18" s="252"/>
      <c r="J18" s="252"/>
      <c r="K18" s="253"/>
      <c r="L18" s="488"/>
      <c r="M18" s="7"/>
      <c r="O18" s="1"/>
      <c r="P18" s="1"/>
      <c r="Q18" s="1"/>
    </row>
    <row r="19" spans="1:41" ht="23.25" thickBot="1" x14ac:dyDescent="0.25">
      <c r="A19" s="1"/>
      <c r="B19" s="6"/>
      <c r="C19" s="254" t="s">
        <v>550</v>
      </c>
      <c r="D19" s="255" t="s">
        <v>551</v>
      </c>
      <c r="E19" s="256" t="s">
        <v>552</v>
      </c>
      <c r="F19" s="255" t="s">
        <v>553</v>
      </c>
      <c r="G19" s="255" t="s">
        <v>32</v>
      </c>
      <c r="H19" s="257" t="s">
        <v>554</v>
      </c>
      <c r="I19" s="257" t="s">
        <v>555</v>
      </c>
      <c r="J19" s="129" t="s">
        <v>556</v>
      </c>
      <c r="K19" s="129" t="s">
        <v>557</v>
      </c>
      <c r="L19" s="489" t="s">
        <v>558</v>
      </c>
      <c r="M19" s="7"/>
      <c r="O19" s="129" t="s">
        <v>559</v>
      </c>
      <c r="P19" s="129" t="s">
        <v>560</v>
      </c>
      <c r="Q19" s="129" t="s">
        <v>561</v>
      </c>
    </row>
    <row r="20" spans="1:41" ht="12.75" customHeight="1" x14ac:dyDescent="0.2">
      <c r="A20" s="1"/>
      <c r="B20" s="6"/>
      <c r="C20" s="667" t="s">
        <v>640</v>
      </c>
      <c r="D20" s="668" t="str">
        <f>VLOOKUP($P20,TOV!$A$4:$E$65536,2,FALSE)</f>
        <v xml:space="preserve">Source local material (where availiable onsite), cart and spread suitable material to cap the tailings storage (cap thickness determined by approval/licence) </v>
      </c>
      <c r="E20" s="669" t="s">
        <v>515</v>
      </c>
      <c r="F20" s="670"/>
      <c r="G20" s="671" t="s">
        <v>82</v>
      </c>
      <c r="H20" s="672" t="str">
        <f>VLOOKUP($P20,TOV!$A$4:$E$65536,4,FALSE)</f>
        <v>Select from List</v>
      </c>
      <c r="I20" s="673"/>
      <c r="J20" s="674" t="str">
        <f>IF($E20="Y",IF(I20=0,IF(H20="Select From List","",F20*H20),F20*I20),"")</f>
        <v/>
      </c>
      <c r="K20" s="229" t="s">
        <v>514</v>
      </c>
      <c r="L20" s="675" t="s">
        <v>641</v>
      </c>
      <c r="M20" s="658"/>
      <c r="N20" s="591"/>
      <c r="O20" s="677">
        <f>IF(I20="",0,1)</f>
        <v>0</v>
      </c>
      <c r="P20" s="678" t="str">
        <f>IF(Q20=1,"X205",IF(Q20=2,"X206",IF(Q20=3,"X207",IF(Q20=4,"X208",IF(Q20=5,"X209","X205")))))</f>
        <v>X205</v>
      </c>
      <c r="Q20" s="574">
        <f>VLOOKUP(K20,Select_Haul_Distance_Index,2,FALSE)</f>
        <v>1</v>
      </c>
    </row>
    <row r="21" spans="1:41" ht="27" customHeight="1" x14ac:dyDescent="0.2">
      <c r="A21" s="1"/>
      <c r="B21" s="6"/>
      <c r="C21" s="581"/>
      <c r="D21" s="621"/>
      <c r="E21" s="623"/>
      <c r="F21" s="625"/>
      <c r="G21" s="627"/>
      <c r="H21" s="629"/>
      <c r="I21" s="659"/>
      <c r="J21" s="633"/>
      <c r="K21" s="137"/>
      <c r="L21" s="676"/>
      <c r="M21" s="658"/>
      <c r="N21" s="591"/>
      <c r="O21" s="593"/>
      <c r="P21" s="595"/>
      <c r="Q21" s="575"/>
    </row>
    <row r="22" spans="1:41" ht="27" customHeight="1" x14ac:dyDescent="0.2">
      <c r="A22" s="1"/>
      <c r="B22" s="6"/>
      <c r="C22" s="581"/>
      <c r="D22" s="180" t="str">
        <f>VLOOKUP($P22,TOV!$A$4:$E$65536,2,FALSE)</f>
        <v>Purchase of capping material where there is a shortage on site</v>
      </c>
      <c r="E22" s="148" t="s">
        <v>515</v>
      </c>
      <c r="F22" s="155"/>
      <c r="G22" s="161" t="s">
        <v>38</v>
      </c>
      <c r="H22" s="156">
        <f>VLOOKUP($P22,TOV!$A$4:$E$65536,4,FALSE)</f>
        <v>24.370055009999998</v>
      </c>
      <c r="I22" s="163"/>
      <c r="J22" s="136">
        <f>IF($E22="Y",IF(I22=0,IF(H22="Use 1st principles to build a rate","",F22*H22),F22*I22),"")</f>
        <v>0</v>
      </c>
      <c r="K22" s="157"/>
      <c r="L22" s="475" t="s">
        <v>642</v>
      </c>
      <c r="M22" s="120"/>
      <c r="N22" s="158"/>
      <c r="O22" s="258">
        <f t="shared" ref="O22" si="0">IF(I22="",0,1)</f>
        <v>0</v>
      </c>
      <c r="P22" s="259" t="s">
        <v>643</v>
      </c>
      <c r="Q22" s="224"/>
    </row>
    <row r="23" spans="1:41" ht="67.5" x14ac:dyDescent="0.2">
      <c r="A23" s="1"/>
      <c r="B23" s="6"/>
      <c r="C23" s="581"/>
      <c r="D23" s="180" t="str">
        <f>VLOOKUP($P23,TOV!$A$4:$E$65536,2,FALSE)</f>
        <v xml:space="preserve">(Only if specifically required): Apply engineered treatment as required (i.e. additional compaction, capillary breaks, etc) - design in accordance with the approval/permit commitments. Generic rate assumes cap thickness of approximately 1-1.5m.  </v>
      </c>
      <c r="E23" s="148" t="s">
        <v>515</v>
      </c>
      <c r="F23" s="181"/>
      <c r="G23" s="149" t="s">
        <v>47</v>
      </c>
      <c r="H23" s="156" t="str">
        <f>VLOOKUP($P23,TOV!$A$4:$E$65536,4,FALSE)</f>
        <v>Use 1st principles to build a rate</v>
      </c>
      <c r="I23" s="163"/>
      <c r="J23" s="136" t="str">
        <f>IF($E23="Y",IF(I23=0,IF(H23="Use 1st principles to build a rate","",F23*H23),F23*I23),"")</f>
        <v/>
      </c>
      <c r="K23" s="137"/>
      <c r="L23" s="474" t="s">
        <v>644</v>
      </c>
      <c r="M23" s="7"/>
      <c r="O23" s="151">
        <f>IF(I23="",0,1)</f>
        <v>0</v>
      </c>
      <c r="P23" s="152" t="s">
        <v>158</v>
      </c>
      <c r="Q23" s="153"/>
    </row>
    <row r="24" spans="1:41" ht="27" customHeight="1" thickBot="1" x14ac:dyDescent="0.25">
      <c r="A24" s="1"/>
      <c r="B24" s="6"/>
      <c r="C24" s="581"/>
      <c r="D24" s="183" t="str">
        <f>VLOOKUP($P24,TOV!$A$4:$E$65536,2,FALSE)</f>
        <v xml:space="preserve">Reshaping (earthworks only) of the walls &amp; surrounds of the tailings storage </v>
      </c>
      <c r="E24" s="184" t="s">
        <v>515</v>
      </c>
      <c r="F24" s="185"/>
      <c r="G24" s="164" t="s">
        <v>47</v>
      </c>
      <c r="H24" s="186">
        <f>VLOOKUP($P24,TOV!$A$4:$E$65536,4,FALSE)</f>
        <v>3377.5698973102621</v>
      </c>
      <c r="I24" s="165"/>
      <c r="J24" s="187">
        <f t="shared" ref="J24:J43" si="1">IF($E24="Y",IF(I24=0,F24*H24,F24*I24),"")</f>
        <v>0</v>
      </c>
      <c r="K24" s="188"/>
      <c r="L24" s="476" t="s">
        <v>645</v>
      </c>
      <c r="M24" s="7"/>
      <c r="O24" s="166">
        <f>IF(I24="",0,1)</f>
        <v>0</v>
      </c>
      <c r="P24" s="167" t="s">
        <v>369</v>
      </c>
      <c r="Q24" s="168"/>
    </row>
    <row r="25" spans="1:41" ht="13.5" thickBot="1" x14ac:dyDescent="0.25">
      <c r="A25" s="1"/>
      <c r="B25" s="6"/>
      <c r="C25" s="260"/>
      <c r="D25" s="261"/>
      <c r="E25" s="261"/>
      <c r="F25" s="262" t="s">
        <v>573</v>
      </c>
      <c r="G25" s="263"/>
      <c r="H25" s="264"/>
      <c r="I25" s="264"/>
      <c r="J25" s="209">
        <f>SUM(J20:J24)</f>
        <v>0</v>
      </c>
      <c r="K25" s="265"/>
      <c r="L25" s="490"/>
      <c r="M25" s="7"/>
      <c r="O25" s="649"/>
      <c r="P25" s="650"/>
      <c r="Q25" s="651"/>
    </row>
    <row r="26" spans="1:41" ht="56.25" x14ac:dyDescent="0.2">
      <c r="A26" s="1"/>
      <c r="B26" s="6"/>
      <c r="C26" s="613" t="s">
        <v>616</v>
      </c>
      <c r="D26" s="225" t="str">
        <f>VLOOKUP($P26,TOV!$A$4:$E$65536,2,FALSE)</f>
        <v>Clean small surface water management dams (include all structures) to be retained after mine closure  - make safe and minor earthworks to stabilise the water management structure. ( &lt; 5 ML)</v>
      </c>
      <c r="E26" s="210" t="s">
        <v>515</v>
      </c>
      <c r="F26" s="226"/>
      <c r="G26" s="133" t="s">
        <v>41</v>
      </c>
      <c r="H26" s="212">
        <f>VLOOKUP($P26,TOV!$A$4:$E$65536,4,FALSE)</f>
        <v>2043.8628096544155</v>
      </c>
      <c r="I26" s="135"/>
      <c r="J26" s="228">
        <f t="shared" si="1"/>
        <v>0</v>
      </c>
      <c r="K26" s="229"/>
      <c r="L26" s="478" t="s">
        <v>617</v>
      </c>
      <c r="M26" s="7"/>
      <c r="O26" s="138">
        <f>IF(I26="",0,1)</f>
        <v>0</v>
      </c>
      <c r="P26" s="139" t="s">
        <v>177</v>
      </c>
      <c r="Q26" s="140"/>
    </row>
    <row r="27" spans="1:41" ht="22.5" x14ac:dyDescent="0.2">
      <c r="A27" s="1"/>
      <c r="B27" s="6"/>
      <c r="C27" s="614"/>
      <c r="D27" s="230" t="str">
        <f>VLOOKUP($P27,TOV!$A$4:$E$65536,2,FALSE)</f>
        <v>Pumping costs for water, includes hire of pumps, labour to manage pumping and fuel</v>
      </c>
      <c r="E27" s="148" t="s">
        <v>515</v>
      </c>
      <c r="F27" s="181"/>
      <c r="G27" s="149" t="s">
        <v>491</v>
      </c>
      <c r="H27" s="156">
        <f>VLOOKUP($P27,TOV!$A$4:$E$65536,4,FALSE)</f>
        <v>85.313738999999984</v>
      </c>
      <c r="I27" s="163"/>
      <c r="J27" s="136">
        <f>IF($E27="Y",IF(I27=0,F27*H27,F27*I27),"")</f>
        <v>0</v>
      </c>
      <c r="K27" s="137"/>
      <c r="L27" s="474" t="s">
        <v>618</v>
      </c>
      <c r="M27" s="231"/>
      <c r="N27" s="102"/>
      <c r="O27" s="159">
        <f>IF(I27="",0,1)</f>
        <v>0</v>
      </c>
      <c r="P27" s="160" t="s">
        <v>489</v>
      </c>
      <c r="Q27" s="147"/>
    </row>
    <row r="28" spans="1:41" ht="22.5" x14ac:dyDescent="0.2">
      <c r="A28" s="1"/>
      <c r="B28" s="6"/>
      <c r="C28" s="614"/>
      <c r="D28" s="230" t="str">
        <f>VLOOKUP($P28,TOV!$A$4:$E$65536,2,FALSE)</f>
        <v>Removal of plastic pond liners for offsite disposal</v>
      </c>
      <c r="E28" s="148" t="s">
        <v>515</v>
      </c>
      <c r="F28" s="181"/>
      <c r="G28" s="149" t="s">
        <v>47</v>
      </c>
      <c r="H28" s="156">
        <f>VLOOKUP($P28,TOV!$A$4:$E$65536,4,FALSE)</f>
        <v>3227.0849099999996</v>
      </c>
      <c r="I28" s="163"/>
      <c r="J28" s="136">
        <f>IF($E28="Y",IF(I28=0,F28*H28,F28*I28),"")</f>
        <v>0</v>
      </c>
      <c r="K28" s="137"/>
      <c r="L28" s="474" t="s">
        <v>619</v>
      </c>
      <c r="M28" s="231"/>
      <c r="N28" s="102"/>
      <c r="O28" s="159">
        <f>IF(I28="",0,1)</f>
        <v>0</v>
      </c>
      <c r="P28" s="160" t="s">
        <v>487</v>
      </c>
      <c r="Q28" s="147"/>
    </row>
    <row r="29" spans="1:41" ht="27" customHeight="1" thickBot="1" x14ac:dyDescent="0.25">
      <c r="A29" s="107"/>
      <c r="B29" s="117"/>
      <c r="C29" s="614"/>
      <c r="D29" s="232" t="str">
        <f>VLOOKUP($P29,TOV!$A$4:$E$65536,2,FALSE)</f>
        <v>OR Backfill dams and reinstate to natural surface.  (Push only)</v>
      </c>
      <c r="E29" s="184" t="s">
        <v>515</v>
      </c>
      <c r="F29" s="185"/>
      <c r="G29" s="164" t="s">
        <v>38</v>
      </c>
      <c r="H29" s="186">
        <f>VLOOKUP($P29,TOV!$A$4:$E$65536,4,FALSE)</f>
        <v>0.64087223692553696</v>
      </c>
      <c r="I29" s="165"/>
      <c r="J29" s="233">
        <f t="shared" si="1"/>
        <v>0</v>
      </c>
      <c r="K29" s="137"/>
      <c r="L29" s="484" t="s">
        <v>620</v>
      </c>
      <c r="M29" s="231"/>
      <c r="N29" s="102"/>
      <c r="O29" s="159">
        <f>IF(I29="",0,1)</f>
        <v>0</v>
      </c>
      <c r="P29" s="160" t="s">
        <v>460</v>
      </c>
      <c r="Q29" s="234"/>
      <c r="R29" s="235"/>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row>
    <row r="30" spans="1:41" ht="13.5" thickBot="1" x14ac:dyDescent="0.25">
      <c r="A30" s="1"/>
      <c r="B30" s="6"/>
      <c r="C30" s="205"/>
      <c r="D30" s="207"/>
      <c r="E30" s="207"/>
      <c r="F30" s="236" t="s">
        <v>573</v>
      </c>
      <c r="G30" s="172"/>
      <c r="H30" s="173"/>
      <c r="I30" s="173"/>
      <c r="J30" s="209">
        <f>SUM(J26:J29)</f>
        <v>0</v>
      </c>
      <c r="K30" s="209"/>
      <c r="L30" s="485"/>
      <c r="M30" s="7"/>
      <c r="O30" s="569"/>
      <c r="P30" s="570"/>
      <c r="Q30" s="571"/>
    </row>
    <row r="31" spans="1:41" ht="33.75" x14ac:dyDescent="0.2">
      <c r="A31" s="1"/>
      <c r="B31" s="6"/>
      <c r="C31" s="580" t="s">
        <v>646</v>
      </c>
      <c r="D31" s="225" t="str">
        <f>VLOOKUP($P31,TOV!$A$4:$E$65536,2,FALSE)</f>
        <v>Shaping or levelling of minor excavations, batters and stockpiles, final trim, rock rake and deep rip</v>
      </c>
      <c r="E31" s="210" t="s">
        <v>515</v>
      </c>
      <c r="F31" s="226"/>
      <c r="G31" s="133" t="s">
        <v>47</v>
      </c>
      <c r="H31" s="212">
        <f>VLOOKUP($P31,TOV!$A$4:$E$65536,4,FALSE)</f>
        <v>1328.5108262753702</v>
      </c>
      <c r="I31" s="217"/>
      <c r="J31" s="228">
        <f t="shared" si="1"/>
        <v>0</v>
      </c>
      <c r="K31" s="229"/>
      <c r="L31" s="478" t="s">
        <v>602</v>
      </c>
      <c r="M31" s="7"/>
      <c r="O31" s="138">
        <f t="shared" ref="O31:O37" si="2">IF(I31="",0,1)</f>
        <v>0</v>
      </c>
      <c r="P31" s="139" t="s">
        <v>273</v>
      </c>
      <c r="Q31" s="140"/>
    </row>
    <row r="32" spans="1:41" ht="36" x14ac:dyDescent="0.2">
      <c r="A32" s="1"/>
      <c r="B32" s="6"/>
      <c r="C32" s="580"/>
      <c r="D32" s="180" t="str">
        <f>VLOOKUP($P32,TOV!$A$4:$E$65536,2,FALSE)</f>
        <v>Structural water management works, banks, drains, rock lined waterways, sediment dams</v>
      </c>
      <c r="E32" s="148" t="s">
        <v>515</v>
      </c>
      <c r="F32" s="181"/>
      <c r="G32" s="149" t="s">
        <v>47</v>
      </c>
      <c r="H32" s="156">
        <f>VLOOKUP($P32,TOV!$A$4:$E$65536,4,FALSE)</f>
        <v>2043.8628096544155</v>
      </c>
      <c r="I32" s="163"/>
      <c r="J32" s="136">
        <f t="shared" si="1"/>
        <v>0</v>
      </c>
      <c r="K32" s="137"/>
      <c r="L32" s="474" t="s">
        <v>603</v>
      </c>
      <c r="M32" s="7"/>
      <c r="O32" s="151">
        <f t="shared" si="2"/>
        <v>0</v>
      </c>
      <c r="P32" s="152" t="s">
        <v>388</v>
      </c>
      <c r="Q32" s="153"/>
    </row>
    <row r="33" spans="1:17" ht="20.25" x14ac:dyDescent="0.3">
      <c r="A33" s="1"/>
      <c r="B33" s="6"/>
      <c r="C33" s="580"/>
      <c r="D33" s="154" t="str">
        <f>VLOOKUP($P33,TOV!$A$4:$E$65536,2,FALSE)</f>
        <v>Clear and grub existing vegetation</v>
      </c>
      <c r="E33" s="148" t="s">
        <v>515</v>
      </c>
      <c r="F33" s="200"/>
      <c r="G33" s="149" t="s">
        <v>47</v>
      </c>
      <c r="H33" s="201">
        <f>VLOOKUP($P33,TOV!$A$4:$E$65536,4,FALSE)</f>
        <v>3412.5495599999995</v>
      </c>
      <c r="I33" s="220"/>
      <c r="J33" s="136">
        <f t="shared" si="1"/>
        <v>0</v>
      </c>
      <c r="K33" s="157"/>
      <c r="L33" s="483" t="s">
        <v>605</v>
      </c>
      <c r="M33" s="221"/>
      <c r="N33" s="222"/>
      <c r="O33" s="159">
        <f t="shared" si="2"/>
        <v>0</v>
      </c>
      <c r="P33" s="160" t="s">
        <v>606</v>
      </c>
      <c r="Q33" s="153"/>
    </row>
    <row r="34" spans="1:17" ht="22.5" x14ac:dyDescent="0.2">
      <c r="A34" s="1"/>
      <c r="B34" s="6"/>
      <c r="C34" s="580"/>
      <c r="D34" s="180" t="str">
        <f>VLOOKUP($P34,TOV!$A$4:$E$65536,2,FALSE)</f>
        <v>Reshape, deep rip and ameliorate sealed unsealed roads</v>
      </c>
      <c r="E34" s="148" t="s">
        <v>515</v>
      </c>
      <c r="F34" s="181"/>
      <c r="G34" s="149" t="s">
        <v>47</v>
      </c>
      <c r="H34" s="156">
        <f>VLOOKUP($P34,TOV!$A$4:$E$65536,4,FALSE)</f>
        <v>2554.8285120680189</v>
      </c>
      <c r="I34" s="163"/>
      <c r="J34" s="136">
        <f t="shared" si="1"/>
        <v>0</v>
      </c>
      <c r="K34" s="137"/>
      <c r="L34" s="474" t="s">
        <v>647</v>
      </c>
      <c r="M34" s="7"/>
      <c r="O34" s="151">
        <f t="shared" si="2"/>
        <v>0</v>
      </c>
      <c r="P34" s="152" t="s">
        <v>363</v>
      </c>
      <c r="Q34" s="153"/>
    </row>
    <row r="35" spans="1:17" ht="33.75" x14ac:dyDescent="0.2">
      <c r="A35" s="1"/>
      <c r="B35" s="6"/>
      <c r="C35" s="580"/>
      <c r="D35" s="180" t="str">
        <f>VLOOKUP($P35,TOV!$A$4:$E$65536,2,FALSE)</f>
        <v>Maintenance of the rehabilitated areas that are intended to be part of the ongoing closure of the site.</v>
      </c>
      <c r="E35" s="148" t="s">
        <v>515</v>
      </c>
      <c r="F35" s="181"/>
      <c r="G35" s="149" t="s">
        <v>47</v>
      </c>
      <c r="H35" s="156">
        <f>VLOOKUP($P35,TOV!$A$4:$E$65536,4,FALSE)</f>
        <v>664.25541313768508</v>
      </c>
      <c r="I35" s="163"/>
      <c r="J35" s="136">
        <f t="shared" si="1"/>
        <v>0</v>
      </c>
      <c r="K35" s="137"/>
      <c r="L35" s="474" t="s">
        <v>607</v>
      </c>
      <c r="M35" s="7"/>
      <c r="O35" s="151">
        <f t="shared" si="2"/>
        <v>0</v>
      </c>
      <c r="P35" s="152" t="s">
        <v>52</v>
      </c>
      <c r="Q35" s="153"/>
    </row>
    <row r="36" spans="1:17" ht="27" x14ac:dyDescent="0.2">
      <c r="A36" s="1"/>
      <c r="B36" s="6"/>
      <c r="C36" s="580"/>
      <c r="D36" s="180" t="str">
        <f>VLOOKUP($P36,TOV!$A$4:$E$65536,2,FALSE)</f>
        <v>Construct a standard stock fence around the site</v>
      </c>
      <c r="E36" s="148" t="s">
        <v>515</v>
      </c>
      <c r="F36" s="181"/>
      <c r="G36" s="149" t="s">
        <v>101</v>
      </c>
      <c r="H36" s="156">
        <f>VLOOKUP($P36,TOV!$A$4:$E$65536,4,FALSE)</f>
        <v>8.1754512386176614</v>
      </c>
      <c r="I36" s="163"/>
      <c r="J36" s="136">
        <f t="shared" si="1"/>
        <v>0</v>
      </c>
      <c r="K36" s="137"/>
      <c r="L36" s="474" t="s">
        <v>608</v>
      </c>
      <c r="M36" s="7"/>
      <c r="O36" s="151">
        <f t="shared" si="2"/>
        <v>0</v>
      </c>
      <c r="P36" s="152" t="s">
        <v>178</v>
      </c>
      <c r="Q36" s="153"/>
    </row>
    <row r="37" spans="1:17" ht="12.75" customHeight="1" x14ac:dyDescent="0.2">
      <c r="A37" s="1"/>
      <c r="B37" s="6"/>
      <c r="C37" s="580"/>
      <c r="D37" s="621" t="str">
        <f>VLOOKUP($P37,TOV!$A$4:$E$65536,2,FALSE)</f>
        <v>Source (where availiable onsite), cart, spread and lightly rip topsoil</v>
      </c>
      <c r="E37" s="623" t="s">
        <v>515</v>
      </c>
      <c r="F37" s="625"/>
      <c r="G37" s="627" t="s">
        <v>82</v>
      </c>
      <c r="H37" s="629" t="str">
        <f>VLOOKUP($P37,TOV!$A$4:$E$65536,4,FALSE)</f>
        <v>Select from List</v>
      </c>
      <c r="I37" s="659"/>
      <c r="J37" s="633" t="str">
        <f>IF($E37="Y",IF(I37=0,IF(H37="Select From List","",F37*H37),F37*I37),"")</f>
        <v/>
      </c>
      <c r="K37" s="137" t="s">
        <v>514</v>
      </c>
      <c r="L37" s="657" t="s">
        <v>609</v>
      </c>
      <c r="M37" s="658"/>
      <c r="N37" s="591"/>
      <c r="O37" s="592">
        <f t="shared" si="2"/>
        <v>0</v>
      </c>
      <c r="P37" s="594" t="str">
        <f>IF(Q37=1,"X044",IF(Q37=2,"X045",IF(Q37=3,"X046",IF(Q37=4,"x047",IF(Q37=5,"X048","X044")))))</f>
        <v>X044</v>
      </c>
      <c r="Q37" s="574">
        <f>VLOOKUP(K37,Select_Haul_Distance_Index,2,FALSE)</f>
        <v>1</v>
      </c>
    </row>
    <row r="38" spans="1:17" ht="27" customHeight="1" x14ac:dyDescent="0.2">
      <c r="A38" s="1"/>
      <c r="B38" s="6"/>
      <c r="C38" s="580"/>
      <c r="D38" s="621"/>
      <c r="E38" s="623"/>
      <c r="F38" s="625"/>
      <c r="G38" s="627"/>
      <c r="H38" s="629"/>
      <c r="I38" s="659"/>
      <c r="J38" s="633"/>
      <c r="K38" s="137"/>
      <c r="L38" s="657"/>
      <c r="M38" s="658"/>
      <c r="N38" s="591"/>
      <c r="O38" s="593"/>
      <c r="P38" s="595"/>
      <c r="Q38" s="575"/>
    </row>
    <row r="39" spans="1:17" ht="27" customHeight="1" x14ac:dyDescent="0.2">
      <c r="A39" s="1"/>
      <c r="B39" s="6"/>
      <c r="C39" s="580"/>
      <c r="D39" s="154" t="str">
        <f>VLOOKUP($P39,TOV!$A$4:$E$65536,2,FALSE)</f>
        <v>Purchase of topsoil where there is a shortage on site</v>
      </c>
      <c r="E39" s="148" t="s">
        <v>515</v>
      </c>
      <c r="F39" s="200"/>
      <c r="G39" s="149" t="s">
        <v>38</v>
      </c>
      <c r="H39" s="201">
        <f>VLOOKUP($P39,TOV!$A$4:$E$65536,4,FALSE)</f>
        <v>34.622540861999994</v>
      </c>
      <c r="I39" s="220"/>
      <c r="J39" s="136">
        <f t="shared" ref="J39" si="3">IF($E39="Y",IF(I39=0,F39*H39,F39*I39),"")</f>
        <v>0</v>
      </c>
      <c r="K39" s="157"/>
      <c r="L39" s="475" t="s">
        <v>610</v>
      </c>
      <c r="M39" s="162"/>
      <c r="N39" s="16"/>
      <c r="O39" s="159">
        <f t="shared" ref="O39" si="4">IF(I39="",0,1)</f>
        <v>0</v>
      </c>
      <c r="P39" s="160" t="s">
        <v>611</v>
      </c>
      <c r="Q39" s="224"/>
    </row>
    <row r="40" spans="1:17" ht="27" x14ac:dyDescent="0.2">
      <c r="A40" s="1"/>
      <c r="B40" s="6"/>
      <c r="C40" s="580"/>
      <c r="D40" s="180" t="str">
        <f>VLOOKUP($P40,TOV!$A$4:$E$65536,2,FALSE)</f>
        <v>Soil amelioration (adding gypsum, lime, etc)</v>
      </c>
      <c r="E40" s="148" t="s">
        <v>515</v>
      </c>
      <c r="F40" s="181"/>
      <c r="G40" s="149" t="s">
        <v>47</v>
      </c>
      <c r="H40" s="156">
        <f>VLOOKUP($P40,TOV!$A$4:$E$65536,4,FALSE)</f>
        <v>510.96570241360388</v>
      </c>
      <c r="I40" s="163"/>
      <c r="J40" s="136">
        <f t="shared" si="1"/>
        <v>0</v>
      </c>
      <c r="K40" s="137"/>
      <c r="L40" s="474" t="s">
        <v>612</v>
      </c>
      <c r="M40" s="7"/>
      <c r="O40" s="151">
        <f>IF(I40="",0,1)</f>
        <v>0</v>
      </c>
      <c r="P40" s="152" t="s">
        <v>119</v>
      </c>
      <c r="Q40" s="153"/>
    </row>
    <row r="41" spans="1:17" ht="63" x14ac:dyDescent="0.2">
      <c r="A41" s="1"/>
      <c r="B41" s="6"/>
      <c r="C41" s="580"/>
      <c r="D41" s="180" t="str">
        <f>VLOOKUP($P41,TOV!$A$4:$E$65536,2,FALSE)</f>
        <v>Direct seeding (native tree species OR using native grasses), with single application of fertiliser</v>
      </c>
      <c r="E41" s="148" t="s">
        <v>515</v>
      </c>
      <c r="F41" s="181"/>
      <c r="G41" s="149" t="s">
        <v>47</v>
      </c>
      <c r="H41" s="156">
        <f>VLOOKUP($P41,TOV!$A$4:$E$65536,4,FALSE)</f>
        <v>3576.7599168952274</v>
      </c>
      <c r="I41" s="163"/>
      <c r="J41" s="136">
        <f t="shared" si="1"/>
        <v>0</v>
      </c>
      <c r="K41" s="137"/>
      <c r="L41" s="474" t="s">
        <v>613</v>
      </c>
      <c r="M41" s="7"/>
      <c r="O41" s="151">
        <f>IF(I41="",0,1)</f>
        <v>0</v>
      </c>
      <c r="P41" s="152" t="s">
        <v>121</v>
      </c>
      <c r="Q41" s="153"/>
    </row>
    <row r="42" spans="1:17" ht="63" x14ac:dyDescent="0.2">
      <c r="A42" s="1"/>
      <c r="B42" s="6"/>
      <c r="C42" s="580"/>
      <c r="D42" s="180" t="str">
        <f>VLOOKUP($P42,TOV!$A$4:$E$65536,2,FALSE)</f>
        <v>Direct seeding (pasture grass species), with single application of fertiliser</v>
      </c>
      <c r="E42" s="148" t="s">
        <v>515</v>
      </c>
      <c r="F42" s="181"/>
      <c r="G42" s="149" t="s">
        <v>47</v>
      </c>
      <c r="H42" s="156">
        <f>VLOOKUP($P42,TOV!$A$4:$E$65536,4,FALSE)</f>
        <v>919.73826434448688</v>
      </c>
      <c r="I42" s="163"/>
      <c r="J42" s="136">
        <f t="shared" si="1"/>
        <v>0</v>
      </c>
      <c r="K42" s="137"/>
      <c r="L42" s="474" t="s">
        <v>614</v>
      </c>
      <c r="M42" s="7"/>
      <c r="O42" s="151">
        <f>IF(I42="",0,1)</f>
        <v>0</v>
      </c>
      <c r="P42" s="152" t="s">
        <v>123</v>
      </c>
      <c r="Q42" s="153"/>
    </row>
    <row r="43" spans="1:17" ht="18.75" thickBot="1" x14ac:dyDescent="0.25">
      <c r="A43" s="1"/>
      <c r="B43" s="6"/>
      <c r="C43" s="580"/>
      <c r="D43" s="180" t="str">
        <f>VLOOKUP($P43,TOV!$A$4:$E$65536,2,FALSE)</f>
        <v>Planting tubestock (&lt; 15cm)</v>
      </c>
      <c r="E43" s="148" t="s">
        <v>515</v>
      </c>
      <c r="F43" s="181"/>
      <c r="G43" s="149" t="s">
        <v>41</v>
      </c>
      <c r="H43" s="156">
        <f>VLOOKUP($P43,TOV!$A$4:$E$65536,4,FALSE)</f>
        <v>8.6604356341288788</v>
      </c>
      <c r="I43" s="163"/>
      <c r="J43" s="136">
        <f t="shared" si="1"/>
        <v>0</v>
      </c>
      <c r="K43" s="137"/>
      <c r="L43" s="474" t="s">
        <v>615</v>
      </c>
      <c r="M43" s="7"/>
      <c r="O43" s="151">
        <f>IF(I43="",0,1)</f>
        <v>0</v>
      </c>
      <c r="P43" s="152" t="s">
        <v>129</v>
      </c>
      <c r="Q43" s="153"/>
    </row>
    <row r="44" spans="1:17" ht="13.5" thickBot="1" x14ac:dyDescent="0.25">
      <c r="A44" s="1"/>
      <c r="B44" s="6"/>
      <c r="C44" s="205"/>
      <c r="D44" s="206"/>
      <c r="E44" s="207"/>
      <c r="F44" s="236" t="s">
        <v>573</v>
      </c>
      <c r="G44" s="236"/>
      <c r="H44" s="236"/>
      <c r="I44" s="208"/>
      <c r="J44" s="209">
        <f>SUM(J31:J43)</f>
        <v>0</v>
      </c>
      <c r="K44" s="209"/>
      <c r="L44" s="481"/>
      <c r="M44" s="7"/>
      <c r="O44" s="649"/>
      <c r="P44" s="650"/>
      <c r="Q44" s="651"/>
    </row>
    <row r="45" spans="1:17" ht="12.75" x14ac:dyDescent="0.2">
      <c r="A45" s="1"/>
      <c r="B45" s="6"/>
      <c r="C45" s="581" t="s">
        <v>621</v>
      </c>
      <c r="D45" s="225" t="s">
        <v>622</v>
      </c>
      <c r="E45" s="133"/>
      <c r="F45" s="237"/>
      <c r="G45" s="133"/>
      <c r="H45" s="652"/>
      <c r="I45" s="135"/>
      <c r="J45" s="238">
        <f>F45*I45</f>
        <v>0</v>
      </c>
      <c r="K45" s="238"/>
      <c r="L45" s="478" t="s">
        <v>623</v>
      </c>
      <c r="M45" s="7"/>
      <c r="O45" s="138">
        <f>IF(I45="",0,1)</f>
        <v>0</v>
      </c>
      <c r="P45" s="266"/>
      <c r="Q45" s="140"/>
    </row>
    <row r="46" spans="1:17" ht="12.75" x14ac:dyDescent="0.2">
      <c r="A46" s="1"/>
      <c r="B46" s="6"/>
      <c r="C46" s="581"/>
      <c r="D46" s="180" t="s">
        <v>624</v>
      </c>
      <c r="E46" s="149"/>
      <c r="F46" s="240"/>
      <c r="G46" s="149"/>
      <c r="H46" s="653"/>
      <c r="I46" s="163"/>
      <c r="J46" s="241">
        <f>F46*I46</f>
        <v>0</v>
      </c>
      <c r="K46" s="241"/>
      <c r="L46" s="474" t="s">
        <v>623</v>
      </c>
      <c r="M46" s="7"/>
      <c r="O46" s="151">
        <f>IF(I46="",0,1)</f>
        <v>0</v>
      </c>
      <c r="P46" s="267"/>
      <c r="Q46" s="153"/>
    </row>
    <row r="47" spans="1:17" ht="13.5" thickBot="1" x14ac:dyDescent="0.25">
      <c r="A47" s="1"/>
      <c r="B47" s="6"/>
      <c r="C47" s="581"/>
      <c r="D47" s="183" t="s">
        <v>625</v>
      </c>
      <c r="E47" s="164"/>
      <c r="F47" s="243"/>
      <c r="G47" s="164"/>
      <c r="H47" s="654"/>
      <c r="I47" s="165"/>
      <c r="J47" s="268">
        <f>F47*I47</f>
        <v>0</v>
      </c>
      <c r="K47" s="244"/>
      <c r="L47" s="476" t="s">
        <v>623</v>
      </c>
      <c r="M47" s="7"/>
      <c r="O47" s="166">
        <f>IF(I47="",0,1)</f>
        <v>0</v>
      </c>
      <c r="P47" s="269"/>
      <c r="Q47" s="168"/>
    </row>
    <row r="48" spans="1:17" ht="13.5" thickBot="1" x14ac:dyDescent="0.25">
      <c r="A48" s="1"/>
      <c r="B48" s="6"/>
      <c r="C48" s="260"/>
      <c r="D48" s="270"/>
      <c r="E48" s="270"/>
      <c r="F48" s="262" t="s">
        <v>573</v>
      </c>
      <c r="G48" s="263"/>
      <c r="H48" s="264"/>
      <c r="I48" s="264"/>
      <c r="J48" s="265">
        <f>SUM(J45:J47)</f>
        <v>0</v>
      </c>
      <c r="K48" s="265"/>
      <c r="L48" s="477"/>
      <c r="M48" s="7"/>
      <c r="O48" s="569"/>
      <c r="P48" s="570"/>
      <c r="Q48" s="571"/>
    </row>
    <row r="49" spans="1:17" ht="15" x14ac:dyDescent="0.2">
      <c r="A49" s="1"/>
      <c r="B49" s="6"/>
      <c r="C49" s="214"/>
      <c r="D49" s="214"/>
      <c r="E49" s="214"/>
      <c r="F49" s="271"/>
      <c r="G49" s="214"/>
      <c r="H49" s="214"/>
      <c r="I49" s="214"/>
      <c r="J49" s="214"/>
      <c r="K49" s="214"/>
      <c r="L49" s="491"/>
      <c r="M49" s="7"/>
      <c r="O49" s="1"/>
      <c r="P49" s="1"/>
      <c r="Q49" s="1"/>
    </row>
    <row r="50" spans="1:17" ht="15.75" x14ac:dyDescent="0.2">
      <c r="A50" s="1"/>
      <c r="B50" s="6"/>
      <c r="C50" s="246" t="s">
        <v>627</v>
      </c>
      <c r="D50" s="655" t="s">
        <v>628</v>
      </c>
      <c r="E50" s="655"/>
      <c r="F50" s="656"/>
      <c r="G50" s="656"/>
      <c r="H50" s="656"/>
      <c r="I50" s="273"/>
      <c r="J50" s="274">
        <f>SUM(J48,J44,J30,J25)</f>
        <v>0</v>
      </c>
      <c r="K50" s="274"/>
      <c r="L50" s="491"/>
      <c r="M50" s="7"/>
      <c r="O50" s="1"/>
      <c r="P50" s="1"/>
      <c r="Q50" s="1"/>
    </row>
    <row r="51" spans="1:17" ht="15" x14ac:dyDescent="0.2">
      <c r="A51" s="1"/>
      <c r="B51" s="50"/>
      <c r="C51" s="275"/>
      <c r="D51" s="275"/>
      <c r="E51" s="275"/>
      <c r="F51" s="276"/>
      <c r="G51" s="275"/>
      <c r="H51" s="275"/>
      <c r="I51" s="275"/>
      <c r="J51" s="275"/>
      <c r="K51" s="275"/>
      <c r="L51" s="492"/>
      <c r="M51" s="33"/>
      <c r="O51" s="1"/>
      <c r="P51" s="1"/>
      <c r="Q51" s="1"/>
    </row>
    <row r="52" spans="1:17" ht="15" x14ac:dyDescent="0.25">
      <c r="A52" s="1"/>
      <c r="B52" s="1"/>
      <c r="C52" s="1"/>
      <c r="D52" s="1"/>
      <c r="E52" s="1"/>
      <c r="F52" s="1"/>
      <c r="G52" s="1"/>
      <c r="H52" s="1"/>
      <c r="I52" s="1"/>
      <c r="J52" s="1"/>
      <c r="K52" s="1"/>
      <c r="L52" s="457"/>
      <c r="M52" s="1"/>
      <c r="O52" s="1"/>
      <c r="P52" s="1"/>
      <c r="Q52" s="1"/>
    </row>
  </sheetData>
  <mergeCells count="54">
    <mergeCell ref="C3:L3"/>
    <mergeCell ref="C8:D17"/>
    <mergeCell ref="F8:I8"/>
    <mergeCell ref="J8:K8"/>
    <mergeCell ref="F9:I9"/>
    <mergeCell ref="J9:K9"/>
    <mergeCell ref="F10:I10"/>
    <mergeCell ref="J10:K10"/>
    <mergeCell ref="F11:I11"/>
    <mergeCell ref="J11:K11"/>
    <mergeCell ref="F12:I12"/>
    <mergeCell ref="J12:K12"/>
    <mergeCell ref="F13:I13"/>
    <mergeCell ref="J13:K13"/>
    <mergeCell ref="F14:I14"/>
    <mergeCell ref="J14:K14"/>
    <mergeCell ref="Q20:Q21"/>
    <mergeCell ref="F15:I17"/>
    <mergeCell ref="J15:K17"/>
    <mergeCell ref="C20:C24"/>
    <mergeCell ref="D20:D21"/>
    <mergeCell ref="E20:E21"/>
    <mergeCell ref="F20:F21"/>
    <mergeCell ref="G20:G21"/>
    <mergeCell ref="H20:H21"/>
    <mergeCell ref="I20:I21"/>
    <mergeCell ref="J20:J21"/>
    <mergeCell ref="L20:L21"/>
    <mergeCell ref="M20:M21"/>
    <mergeCell ref="N20:N21"/>
    <mergeCell ref="O20:O21"/>
    <mergeCell ref="P20:P21"/>
    <mergeCell ref="O25:Q25"/>
    <mergeCell ref="C26:C29"/>
    <mergeCell ref="O30:Q30"/>
    <mergeCell ref="C31:C43"/>
    <mergeCell ref="D37:D38"/>
    <mergeCell ref="E37:E38"/>
    <mergeCell ref="F37:F38"/>
    <mergeCell ref="G37:G38"/>
    <mergeCell ref="H37:H38"/>
    <mergeCell ref="I37:I38"/>
    <mergeCell ref="Q37:Q38"/>
    <mergeCell ref="D50:H50"/>
    <mergeCell ref="J37:J38"/>
    <mergeCell ref="L37:L38"/>
    <mergeCell ref="M37:M38"/>
    <mergeCell ref="N37:N38"/>
    <mergeCell ref="O44:Q44"/>
    <mergeCell ref="C45:C47"/>
    <mergeCell ref="H45:H47"/>
    <mergeCell ref="O48:Q48"/>
    <mergeCell ref="O37:O38"/>
    <mergeCell ref="P37:P38"/>
  </mergeCells>
  <conditionalFormatting sqref="F20:F24">
    <cfRule type="expression" dxfId="81" priority="14" stopIfTrue="1">
      <formula>$E20="N"</formula>
    </cfRule>
    <cfRule type="expression" dxfId="80" priority="15" stopIfTrue="1">
      <formula>$E20="Y"</formula>
    </cfRule>
  </conditionalFormatting>
  <conditionalFormatting sqref="F26:F29">
    <cfRule type="expression" dxfId="79" priority="10" stopIfTrue="1">
      <formula>$E26="N"</formula>
    </cfRule>
    <cfRule type="expression" dxfId="78" priority="11" stopIfTrue="1">
      <formula>$E26="Y"</formula>
    </cfRule>
  </conditionalFormatting>
  <conditionalFormatting sqref="F31:F43">
    <cfRule type="expression" dxfId="77" priority="2" stopIfTrue="1">
      <formula>$E31="N"</formula>
    </cfRule>
    <cfRule type="expression" dxfId="76" priority="3" stopIfTrue="1">
      <formula>$E31="Y"</formula>
    </cfRule>
  </conditionalFormatting>
  <conditionalFormatting sqref="J20:J24">
    <cfRule type="expression" dxfId="75" priority="13" stopIfTrue="1">
      <formula>$O20=1</formula>
    </cfRule>
  </conditionalFormatting>
  <conditionalFormatting sqref="J26:J29">
    <cfRule type="expression" dxfId="74" priority="9" stopIfTrue="1">
      <formula>$O26=1</formula>
    </cfRule>
  </conditionalFormatting>
  <conditionalFormatting sqref="J31:J43">
    <cfRule type="expression" dxfId="73" priority="1" stopIfTrue="1">
      <formula>$O31=1</formula>
    </cfRule>
  </conditionalFormatting>
  <conditionalFormatting sqref="K20:K24">
    <cfRule type="expression" dxfId="72" priority="16" stopIfTrue="1">
      <formula>$O20=1</formula>
    </cfRule>
  </conditionalFormatting>
  <conditionalFormatting sqref="K26:K29">
    <cfRule type="expression" dxfId="71" priority="12" stopIfTrue="1">
      <formula>$O26=1</formula>
    </cfRule>
  </conditionalFormatting>
  <conditionalFormatting sqref="K31:K43">
    <cfRule type="expression" dxfId="70" priority="4" stopIfTrue="1">
      <formula>$O31=1</formula>
    </cfRule>
  </conditionalFormatting>
  <dataValidations count="2">
    <dataValidation type="list" allowBlank="1" showInputMessage="1" showErrorMessage="1" sqref="E26:E29 E20:E24 E31:E43" xr:uid="{FD8AD776-DA84-4972-8710-AF724A6B0D50}">
      <formula1>Y_N</formula1>
    </dataValidation>
    <dataValidation type="list" allowBlank="1" showInputMessage="1" showErrorMessage="1" sqref="K37 K20" xr:uid="{5DDB1542-8B99-417E-91CC-DB09C380F68C}">
      <formula1>Select_Haul_Distance</formula1>
    </dataValidation>
  </dataValidations>
  <printOptions horizontalCentered="1"/>
  <pageMargins left="0.39370078740157483" right="0.39370078740157483" top="0.59055118110236227" bottom="0.59055118110236227" header="0.39370078740157483" footer="0.39370078740157483"/>
  <pageSetup paperSize="8" orientation="landscape" r:id="rId1"/>
  <headerFooter alignWithMargins="0">
    <oddFooter>&amp;C_x000D_&amp;1#&amp;"Calibri"&amp;12&amp;K000000 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5BC3-C739-4576-B15C-ACE379AF57C6}">
  <sheetPr codeName="Sheet22"/>
  <dimension ref="A1:AO52"/>
  <sheetViews>
    <sheetView workbookViewId="0">
      <selection activeCell="C31" sqref="C31:M71"/>
    </sheetView>
  </sheetViews>
  <sheetFormatPr defaultColWidth="0" defaultRowHeight="0" customHeight="1" zeroHeight="1" x14ac:dyDescent="0.25"/>
  <cols>
    <col min="1" max="2" width="2.42578125" style="2" customWidth="1"/>
    <col min="3" max="3" width="25.85546875" style="2" customWidth="1"/>
    <col min="4" max="4" width="33.7109375" style="2" customWidth="1"/>
    <col min="5" max="5" width="9" style="2" customWidth="1"/>
    <col min="6" max="6" width="7.42578125" style="2" customWidth="1"/>
    <col min="7" max="7" width="4" style="2" customWidth="1"/>
    <col min="8" max="9" width="11.140625" style="2" customWidth="1"/>
    <col min="10" max="10" width="15.7109375" style="2" customWidth="1"/>
    <col min="11" max="11" width="28.7109375" style="2" customWidth="1"/>
    <col min="12" max="12" width="40.140625" customWidth="1"/>
    <col min="13" max="13" width="2.140625" style="2" customWidth="1"/>
    <col min="14" max="14" width="2.42578125" style="1" customWidth="1"/>
    <col min="15" max="17" width="4.5703125" style="2" hidden="1" customWidth="1"/>
    <col min="18" max="18" width="2.42578125" style="1" hidden="1" customWidth="1"/>
    <col min="19" max="16384" width="8.85546875" style="2" hidden="1"/>
  </cols>
  <sheetData>
    <row r="1" spans="1:18" ht="15" x14ac:dyDescent="0.25">
      <c r="A1" s="1"/>
      <c r="B1" s="1"/>
      <c r="C1" s="1"/>
      <c r="D1" s="1"/>
      <c r="E1" s="1"/>
      <c r="F1" s="1"/>
      <c r="G1" s="1"/>
      <c r="H1" s="1"/>
      <c r="I1" s="1"/>
      <c r="J1" s="1"/>
      <c r="K1" s="1"/>
      <c r="L1" s="457"/>
      <c r="M1" s="1"/>
      <c r="O1" s="1"/>
      <c r="P1" s="1"/>
      <c r="Q1" s="1"/>
    </row>
    <row r="2" spans="1:18" ht="15" x14ac:dyDescent="0.25">
      <c r="A2" s="1"/>
      <c r="B2" s="3"/>
      <c r="C2" s="4"/>
      <c r="D2" s="4"/>
      <c r="E2" s="4"/>
      <c r="F2" s="4"/>
      <c r="G2" s="4"/>
      <c r="H2" s="4"/>
      <c r="I2" s="4"/>
      <c r="J2" s="4"/>
      <c r="K2" s="4"/>
      <c r="L2" s="458"/>
      <c r="M2" s="5"/>
      <c r="O2" s="1"/>
      <c r="P2" s="1"/>
      <c r="Q2" s="1"/>
    </row>
    <row r="3" spans="1:18" ht="23.25" thickBot="1" x14ac:dyDescent="0.25">
      <c r="A3" s="1"/>
      <c r="B3" s="6"/>
      <c r="C3" s="639" t="s">
        <v>540</v>
      </c>
      <c r="D3" s="639"/>
      <c r="E3" s="639"/>
      <c r="F3" s="639"/>
      <c r="G3" s="639"/>
      <c r="H3" s="639"/>
      <c r="I3" s="639"/>
      <c r="J3" s="639"/>
      <c r="K3" s="639"/>
      <c r="L3" s="639"/>
      <c r="M3" s="7"/>
      <c r="O3" s="1"/>
      <c r="P3" s="1"/>
      <c r="Q3" s="1"/>
    </row>
    <row r="4" spans="1:18" ht="22.5" x14ac:dyDescent="0.2">
      <c r="A4" s="1"/>
      <c r="B4" s="6"/>
      <c r="C4" s="89" t="s">
        <v>650</v>
      </c>
      <c r="D4" s="90"/>
      <c r="E4" s="90"/>
      <c r="F4" s="91"/>
      <c r="G4" s="91"/>
      <c r="H4" s="92"/>
      <c r="I4" s="92"/>
      <c r="J4" s="92"/>
      <c r="K4" s="93" t="s">
        <v>542</v>
      </c>
      <c r="L4" s="463">
        <f>Total_Liability</f>
        <v>3235.6385328442129</v>
      </c>
      <c r="M4" s="7"/>
      <c r="O4" s="1"/>
      <c r="P4" s="1"/>
      <c r="Q4" s="1"/>
    </row>
    <row r="5" spans="1:18" s="74" customFormat="1" ht="12.75" customHeight="1" x14ac:dyDescent="0.2">
      <c r="A5" s="102"/>
      <c r="B5" s="218"/>
      <c r="C5" s="96"/>
      <c r="D5" s="97"/>
      <c r="E5" s="97"/>
      <c r="F5" s="98"/>
      <c r="G5" s="98"/>
      <c r="H5" s="99"/>
      <c r="I5" s="99"/>
      <c r="J5" s="99"/>
      <c r="K5" s="100" t="s">
        <v>543</v>
      </c>
      <c r="L5" s="464">
        <f>J50</f>
        <v>0</v>
      </c>
      <c r="M5" s="162"/>
      <c r="N5" s="102"/>
      <c r="O5" s="102"/>
      <c r="P5" s="102"/>
      <c r="Q5" s="102"/>
      <c r="R5" s="102"/>
    </row>
    <row r="6" spans="1:18" ht="12.75" customHeight="1" x14ac:dyDescent="0.25">
      <c r="A6" s="1"/>
      <c r="B6" s="6"/>
      <c r="C6" s="105" t="s">
        <v>629</v>
      </c>
      <c r="D6" s="106"/>
      <c r="E6" s="106"/>
      <c r="G6" s="107"/>
      <c r="H6" s="107"/>
      <c r="J6" s="108"/>
      <c r="K6" s="1"/>
      <c r="L6" s="457"/>
      <c r="M6" s="7"/>
      <c r="O6" s="1"/>
      <c r="P6" s="1"/>
      <c r="Q6" s="1"/>
    </row>
    <row r="7" spans="1:18" ht="12.75" customHeight="1" thickBot="1" x14ac:dyDescent="0.25">
      <c r="A7" s="1"/>
      <c r="B7" s="6"/>
      <c r="C7" s="112" t="s">
        <v>544</v>
      </c>
      <c r="D7" s="97"/>
      <c r="E7" s="97"/>
      <c r="F7" s="112" t="s">
        <v>630</v>
      </c>
      <c r="G7" s="98"/>
      <c r="H7" s="107"/>
      <c r="I7" s="1"/>
      <c r="J7" s="1"/>
      <c r="K7" s="1"/>
      <c r="L7" s="465" t="s">
        <v>545</v>
      </c>
      <c r="M7" s="7"/>
      <c r="O7" s="1"/>
      <c r="P7" s="1"/>
      <c r="Q7" s="1"/>
    </row>
    <row r="8" spans="1:18" ht="12.75" customHeight="1" x14ac:dyDescent="0.2">
      <c r="A8" s="1"/>
      <c r="B8" s="6"/>
      <c r="C8" s="679"/>
      <c r="D8" s="680"/>
      <c r="E8" s="114"/>
      <c r="F8" s="646" t="s">
        <v>631</v>
      </c>
      <c r="G8" s="646"/>
      <c r="H8" s="646"/>
      <c r="I8" s="660"/>
      <c r="J8" s="685"/>
      <c r="K8" s="686"/>
      <c r="L8" s="466" t="s">
        <v>546</v>
      </c>
      <c r="M8" s="7"/>
      <c r="O8" s="1"/>
      <c r="P8" s="1"/>
      <c r="Q8" s="1"/>
    </row>
    <row r="9" spans="1:18" ht="12.75" customHeight="1" x14ac:dyDescent="0.2">
      <c r="A9" s="1"/>
      <c r="B9" s="6"/>
      <c r="C9" s="681"/>
      <c r="D9" s="682"/>
      <c r="E9" s="114"/>
      <c r="F9" s="646" t="s">
        <v>632</v>
      </c>
      <c r="G9" s="646"/>
      <c r="H9" s="646"/>
      <c r="I9" s="660"/>
      <c r="J9" s="687"/>
      <c r="K9" s="688"/>
      <c r="L9" s="467" t="s">
        <v>547</v>
      </c>
      <c r="M9" s="7"/>
      <c r="O9" s="1"/>
      <c r="P9" s="1"/>
      <c r="Q9" s="1"/>
    </row>
    <row r="10" spans="1:18" ht="12.75" customHeight="1" x14ac:dyDescent="0.2">
      <c r="A10" s="1"/>
      <c r="B10" s="6"/>
      <c r="C10" s="681"/>
      <c r="D10" s="682"/>
      <c r="E10" s="114"/>
      <c r="F10" s="646" t="s">
        <v>633</v>
      </c>
      <c r="G10" s="646"/>
      <c r="H10" s="646"/>
      <c r="I10" s="660"/>
      <c r="J10" s="687"/>
      <c r="K10" s="688"/>
      <c r="L10" s="468" t="s">
        <v>548</v>
      </c>
      <c r="M10" s="7"/>
      <c r="O10" s="1"/>
      <c r="P10" s="1"/>
      <c r="Q10" s="1"/>
    </row>
    <row r="11" spans="1:18" ht="12.75" customHeight="1" x14ac:dyDescent="0.2">
      <c r="A11" s="1"/>
      <c r="B11" s="6"/>
      <c r="C11" s="681"/>
      <c r="D11" s="682"/>
      <c r="E11" s="114"/>
      <c r="F11" s="646" t="s">
        <v>634</v>
      </c>
      <c r="G11" s="646"/>
      <c r="H11" s="646"/>
      <c r="I11" s="660"/>
      <c r="J11" s="687"/>
      <c r="K11" s="688"/>
      <c r="L11" s="469" t="s">
        <v>549</v>
      </c>
      <c r="M11" s="7"/>
      <c r="O11" s="1"/>
      <c r="P11" s="1"/>
      <c r="Q11" s="1"/>
    </row>
    <row r="12" spans="1:18" ht="12.75" customHeight="1" x14ac:dyDescent="0.2">
      <c r="A12" s="1"/>
      <c r="B12" s="6"/>
      <c r="C12" s="681"/>
      <c r="D12" s="682"/>
      <c r="E12" s="97"/>
      <c r="F12" s="646" t="s">
        <v>635</v>
      </c>
      <c r="G12" s="646"/>
      <c r="H12" s="646"/>
      <c r="I12" s="660"/>
      <c r="J12" s="687"/>
      <c r="K12" s="688"/>
      <c r="L12" s="488"/>
      <c r="M12" s="7"/>
      <c r="O12" s="1"/>
      <c r="P12" s="1"/>
      <c r="Q12" s="1"/>
    </row>
    <row r="13" spans="1:18" ht="12.75" customHeight="1" x14ac:dyDescent="0.2">
      <c r="A13" s="1"/>
      <c r="B13" s="6"/>
      <c r="C13" s="681"/>
      <c r="D13" s="682"/>
      <c r="E13" s="97"/>
      <c r="F13" s="646" t="s">
        <v>636</v>
      </c>
      <c r="G13" s="646"/>
      <c r="H13" s="646"/>
      <c r="I13" s="660"/>
      <c r="J13" s="687"/>
      <c r="K13" s="688"/>
      <c r="L13" s="488"/>
      <c r="M13" s="7"/>
      <c r="O13" s="1"/>
      <c r="P13" s="1"/>
      <c r="Q13" s="1"/>
    </row>
    <row r="14" spans="1:18" ht="12.75" customHeight="1" x14ac:dyDescent="0.2">
      <c r="A14" s="1"/>
      <c r="B14" s="6"/>
      <c r="C14" s="681"/>
      <c r="D14" s="682"/>
      <c r="E14" s="250"/>
      <c r="F14" s="646" t="s">
        <v>637</v>
      </c>
      <c r="G14" s="646"/>
      <c r="H14" s="646"/>
      <c r="I14" s="660"/>
      <c r="J14" s="687"/>
      <c r="K14" s="688"/>
      <c r="L14" s="488"/>
      <c r="M14" s="7"/>
      <c r="O14" s="1"/>
      <c r="P14" s="1"/>
      <c r="Q14" s="1"/>
    </row>
    <row r="15" spans="1:18" ht="12.75" customHeight="1" x14ac:dyDescent="0.2">
      <c r="A15" s="1"/>
      <c r="B15" s="6"/>
      <c r="C15" s="681"/>
      <c r="D15" s="682"/>
      <c r="E15" s="97"/>
      <c r="F15" s="646" t="s">
        <v>638</v>
      </c>
      <c r="G15" s="646"/>
      <c r="H15" s="646"/>
      <c r="I15" s="660"/>
      <c r="J15" s="661"/>
      <c r="K15" s="662"/>
      <c r="L15" s="488" t="s">
        <v>639</v>
      </c>
      <c r="M15" s="7"/>
      <c r="O15" s="1"/>
      <c r="P15" s="1"/>
      <c r="Q15" s="1"/>
    </row>
    <row r="16" spans="1:18" ht="12.75" customHeight="1" x14ac:dyDescent="0.2">
      <c r="A16" s="1"/>
      <c r="B16" s="6"/>
      <c r="C16" s="681"/>
      <c r="D16" s="682"/>
      <c r="E16" s="112"/>
      <c r="F16" s="646"/>
      <c r="G16" s="646"/>
      <c r="H16" s="646"/>
      <c r="I16" s="660"/>
      <c r="J16" s="663"/>
      <c r="K16" s="664"/>
      <c r="L16" s="488"/>
      <c r="M16" s="7"/>
      <c r="O16" s="1"/>
      <c r="P16" s="1"/>
      <c r="Q16" s="1"/>
    </row>
    <row r="17" spans="1:41" ht="12.75" customHeight="1" thickBot="1" x14ac:dyDescent="0.25">
      <c r="A17" s="1"/>
      <c r="B17" s="6"/>
      <c r="C17" s="683"/>
      <c r="D17" s="684"/>
      <c r="E17" s="112"/>
      <c r="F17" s="646"/>
      <c r="G17" s="646"/>
      <c r="H17" s="646"/>
      <c r="I17" s="660"/>
      <c r="J17" s="665"/>
      <c r="K17" s="666"/>
      <c r="L17" s="488"/>
      <c r="M17" s="7"/>
      <c r="O17" s="1"/>
      <c r="P17" s="1"/>
      <c r="Q17" s="1"/>
    </row>
    <row r="18" spans="1:41" ht="12.75" customHeight="1" thickBot="1" x14ac:dyDescent="0.25">
      <c r="A18" s="1"/>
      <c r="B18" s="6"/>
      <c r="C18" s="122"/>
      <c r="D18" s="1"/>
      <c r="E18" s="46"/>
      <c r="F18" s="98"/>
      <c r="G18" s="251"/>
      <c r="H18" s="1"/>
      <c r="I18" s="252"/>
      <c r="J18" s="252"/>
      <c r="K18" s="253"/>
      <c r="L18" s="488"/>
      <c r="M18" s="7"/>
      <c r="O18" s="1"/>
      <c r="P18" s="1"/>
      <c r="Q18" s="1"/>
    </row>
    <row r="19" spans="1:41" ht="23.25" thickBot="1" x14ac:dyDescent="0.25">
      <c r="A19" s="1"/>
      <c r="B19" s="6"/>
      <c r="C19" s="254" t="s">
        <v>550</v>
      </c>
      <c r="D19" s="255" t="s">
        <v>551</v>
      </c>
      <c r="E19" s="256" t="s">
        <v>552</v>
      </c>
      <c r="F19" s="255" t="s">
        <v>553</v>
      </c>
      <c r="G19" s="255" t="s">
        <v>32</v>
      </c>
      <c r="H19" s="257" t="s">
        <v>554</v>
      </c>
      <c r="I19" s="257" t="s">
        <v>555</v>
      </c>
      <c r="J19" s="129" t="s">
        <v>556</v>
      </c>
      <c r="K19" s="129" t="s">
        <v>557</v>
      </c>
      <c r="L19" s="489" t="s">
        <v>558</v>
      </c>
      <c r="M19" s="7"/>
      <c r="O19" s="129" t="s">
        <v>559</v>
      </c>
      <c r="P19" s="129" t="s">
        <v>560</v>
      </c>
      <c r="Q19" s="129" t="s">
        <v>561</v>
      </c>
    </row>
    <row r="20" spans="1:41" ht="12.75" customHeight="1" x14ac:dyDescent="0.2">
      <c r="A20" s="1"/>
      <c r="B20" s="6"/>
      <c r="C20" s="667" t="s">
        <v>640</v>
      </c>
      <c r="D20" s="668" t="str">
        <f>VLOOKUP($P20,TOV!$A$4:$E$65536,2,FALSE)</f>
        <v xml:space="preserve">Source local material (where availiable onsite), cart and spread suitable material to cap the tailings storage (cap thickness determined by approval/licence) </v>
      </c>
      <c r="E20" s="669" t="s">
        <v>515</v>
      </c>
      <c r="F20" s="670"/>
      <c r="G20" s="671" t="s">
        <v>82</v>
      </c>
      <c r="H20" s="672" t="str">
        <f>VLOOKUP($P20,TOV!$A$4:$E$65536,4,FALSE)</f>
        <v>Select from List</v>
      </c>
      <c r="I20" s="673"/>
      <c r="J20" s="674" t="str">
        <f>IF($E20="Y",IF(I20=0,IF(H20="Select From List","",F20*H20),F20*I20),"")</f>
        <v/>
      </c>
      <c r="K20" s="229" t="s">
        <v>514</v>
      </c>
      <c r="L20" s="675" t="s">
        <v>641</v>
      </c>
      <c r="M20" s="658"/>
      <c r="N20" s="591"/>
      <c r="O20" s="677">
        <f>IF(I20="",0,1)</f>
        <v>0</v>
      </c>
      <c r="P20" s="678" t="str">
        <f>IF(Q20=1,"X205",IF(Q20=2,"X206",IF(Q20=3,"X207",IF(Q20=4,"X208",IF(Q20=5,"X209","X205")))))</f>
        <v>X205</v>
      </c>
      <c r="Q20" s="574">
        <f>VLOOKUP(K20,Select_Haul_Distance_Index,2,FALSE)</f>
        <v>1</v>
      </c>
    </row>
    <row r="21" spans="1:41" ht="27" customHeight="1" x14ac:dyDescent="0.2">
      <c r="A21" s="1"/>
      <c r="B21" s="6"/>
      <c r="C21" s="581"/>
      <c r="D21" s="621"/>
      <c r="E21" s="623"/>
      <c r="F21" s="625"/>
      <c r="G21" s="627"/>
      <c r="H21" s="629"/>
      <c r="I21" s="659"/>
      <c r="J21" s="633"/>
      <c r="K21" s="137"/>
      <c r="L21" s="676"/>
      <c r="M21" s="658"/>
      <c r="N21" s="591"/>
      <c r="O21" s="593"/>
      <c r="P21" s="595"/>
      <c r="Q21" s="575"/>
    </row>
    <row r="22" spans="1:41" ht="27" customHeight="1" x14ac:dyDescent="0.2">
      <c r="A22" s="1"/>
      <c r="B22" s="6"/>
      <c r="C22" s="581"/>
      <c r="D22" s="180" t="str">
        <f>VLOOKUP($P22,TOV!$A$4:$E$65536,2,FALSE)</f>
        <v>Purchase of capping material where there is a shortage on site</v>
      </c>
      <c r="E22" s="148" t="s">
        <v>515</v>
      </c>
      <c r="F22" s="155"/>
      <c r="G22" s="161" t="s">
        <v>38</v>
      </c>
      <c r="H22" s="156">
        <f>VLOOKUP($P22,TOV!$A$4:$E$65536,4,FALSE)</f>
        <v>24.370055009999998</v>
      </c>
      <c r="I22" s="163"/>
      <c r="J22" s="136">
        <f>IF($E22="Y",IF(I22=0,IF(H22="Use 1st principles to build a rate","",F22*H22),F22*I22),"")</f>
        <v>0</v>
      </c>
      <c r="K22" s="157"/>
      <c r="L22" s="475" t="s">
        <v>642</v>
      </c>
      <c r="M22" s="120"/>
      <c r="N22" s="158"/>
      <c r="O22" s="258">
        <f t="shared" ref="O22" si="0">IF(I22="",0,1)</f>
        <v>0</v>
      </c>
      <c r="P22" s="259" t="s">
        <v>643</v>
      </c>
      <c r="Q22" s="224"/>
    </row>
    <row r="23" spans="1:41" ht="67.5" x14ac:dyDescent="0.2">
      <c r="A23" s="1"/>
      <c r="B23" s="6"/>
      <c r="C23" s="581"/>
      <c r="D23" s="180" t="str">
        <f>VLOOKUP($P23,TOV!$A$4:$E$65536,2,FALSE)</f>
        <v xml:space="preserve">(Only if specifically required): Apply engineered treatment as required (i.e. additional compaction, capillary breaks, etc) - design in accordance with the approval/permit commitments. Generic rate assumes cap thickness of approximately 1-1.5m.  </v>
      </c>
      <c r="E23" s="148" t="s">
        <v>515</v>
      </c>
      <c r="F23" s="181"/>
      <c r="G23" s="149" t="s">
        <v>47</v>
      </c>
      <c r="H23" s="156" t="str">
        <f>VLOOKUP($P23,TOV!$A$4:$E$65536,4,FALSE)</f>
        <v>Use 1st principles to build a rate</v>
      </c>
      <c r="I23" s="163"/>
      <c r="J23" s="136" t="str">
        <f>IF($E23="Y",IF(I23=0,IF(H23="Use 1st principles to build a rate","",F23*H23),F23*I23),"")</f>
        <v/>
      </c>
      <c r="K23" s="137"/>
      <c r="L23" s="474" t="s">
        <v>644</v>
      </c>
      <c r="M23" s="7"/>
      <c r="O23" s="151">
        <f>IF(I23="",0,1)</f>
        <v>0</v>
      </c>
      <c r="P23" s="152" t="s">
        <v>158</v>
      </c>
      <c r="Q23" s="153"/>
    </row>
    <row r="24" spans="1:41" ht="27" customHeight="1" thickBot="1" x14ac:dyDescent="0.25">
      <c r="A24" s="1"/>
      <c r="B24" s="6"/>
      <c r="C24" s="581"/>
      <c r="D24" s="183" t="str">
        <f>VLOOKUP($P24,TOV!$A$4:$E$65536,2,FALSE)</f>
        <v xml:space="preserve">Reshaping (earthworks only) of the walls &amp; surrounds of the tailings storage </v>
      </c>
      <c r="E24" s="184" t="s">
        <v>515</v>
      </c>
      <c r="F24" s="185"/>
      <c r="G24" s="164" t="s">
        <v>47</v>
      </c>
      <c r="H24" s="186">
        <f>VLOOKUP($P24,TOV!$A$4:$E$65536,4,FALSE)</f>
        <v>3377.5698973102621</v>
      </c>
      <c r="I24" s="165"/>
      <c r="J24" s="187">
        <f t="shared" ref="J24:J43" si="1">IF($E24="Y",IF(I24=0,F24*H24,F24*I24),"")</f>
        <v>0</v>
      </c>
      <c r="K24" s="188"/>
      <c r="L24" s="476" t="s">
        <v>645</v>
      </c>
      <c r="M24" s="7"/>
      <c r="O24" s="166">
        <f>IF(I24="",0,1)</f>
        <v>0</v>
      </c>
      <c r="P24" s="167" t="s">
        <v>369</v>
      </c>
      <c r="Q24" s="168"/>
    </row>
    <row r="25" spans="1:41" ht="13.5" thickBot="1" x14ac:dyDescent="0.25">
      <c r="A25" s="1"/>
      <c r="B25" s="6"/>
      <c r="C25" s="260"/>
      <c r="D25" s="261"/>
      <c r="E25" s="261"/>
      <c r="F25" s="262" t="s">
        <v>573</v>
      </c>
      <c r="G25" s="263"/>
      <c r="H25" s="264"/>
      <c r="I25" s="264"/>
      <c r="J25" s="209">
        <f>SUM(J20:J24)</f>
        <v>0</v>
      </c>
      <c r="K25" s="265"/>
      <c r="L25" s="490"/>
      <c r="M25" s="7"/>
      <c r="O25" s="649"/>
      <c r="P25" s="650"/>
      <c r="Q25" s="651"/>
    </row>
    <row r="26" spans="1:41" ht="56.25" x14ac:dyDescent="0.2">
      <c r="A26" s="1"/>
      <c r="B26" s="6"/>
      <c r="C26" s="613" t="s">
        <v>616</v>
      </c>
      <c r="D26" s="225" t="str">
        <f>VLOOKUP($P26,TOV!$A$4:$E$65536,2,FALSE)</f>
        <v>Clean small surface water management dams (include all structures) to be retained after mine closure  - make safe and minor earthworks to stabilise the water management structure. ( &lt; 5 ML)</v>
      </c>
      <c r="E26" s="210" t="s">
        <v>515</v>
      </c>
      <c r="F26" s="226"/>
      <c r="G26" s="133" t="s">
        <v>41</v>
      </c>
      <c r="H26" s="212">
        <f>VLOOKUP($P26,TOV!$A$4:$E$65536,4,FALSE)</f>
        <v>2043.8628096544155</v>
      </c>
      <c r="I26" s="135"/>
      <c r="J26" s="228">
        <f t="shared" si="1"/>
        <v>0</v>
      </c>
      <c r="K26" s="229"/>
      <c r="L26" s="478" t="s">
        <v>617</v>
      </c>
      <c r="M26" s="7"/>
      <c r="O26" s="138">
        <f>IF(I26="",0,1)</f>
        <v>0</v>
      </c>
      <c r="P26" s="139" t="s">
        <v>177</v>
      </c>
      <c r="Q26" s="140"/>
    </row>
    <row r="27" spans="1:41" ht="22.5" x14ac:dyDescent="0.2">
      <c r="A27" s="1"/>
      <c r="B27" s="6"/>
      <c r="C27" s="614"/>
      <c r="D27" s="230" t="str">
        <f>VLOOKUP($P27,TOV!$A$4:$E$65536,2,FALSE)</f>
        <v>Pumping costs for water, includes hire of pumps, labour to manage pumping and fuel</v>
      </c>
      <c r="E27" s="148" t="s">
        <v>515</v>
      </c>
      <c r="F27" s="181"/>
      <c r="G27" s="149" t="s">
        <v>491</v>
      </c>
      <c r="H27" s="156">
        <f>VLOOKUP($P27,TOV!$A$4:$E$65536,4,FALSE)</f>
        <v>85.313738999999984</v>
      </c>
      <c r="I27" s="163"/>
      <c r="J27" s="136">
        <f>IF($E27="Y",IF(I27=0,F27*H27,F27*I27),"")</f>
        <v>0</v>
      </c>
      <c r="K27" s="137"/>
      <c r="L27" s="474" t="s">
        <v>618</v>
      </c>
      <c r="M27" s="231"/>
      <c r="N27" s="102"/>
      <c r="O27" s="159">
        <f>IF(I27="",0,1)</f>
        <v>0</v>
      </c>
      <c r="P27" s="160" t="s">
        <v>489</v>
      </c>
      <c r="Q27" s="147"/>
    </row>
    <row r="28" spans="1:41" ht="22.5" x14ac:dyDescent="0.2">
      <c r="A28" s="1"/>
      <c r="B28" s="6"/>
      <c r="C28" s="614"/>
      <c r="D28" s="230" t="str">
        <f>VLOOKUP($P28,TOV!$A$4:$E$65536,2,FALSE)</f>
        <v>Removal of plastic pond liners for offsite disposal</v>
      </c>
      <c r="E28" s="148" t="s">
        <v>515</v>
      </c>
      <c r="F28" s="181"/>
      <c r="G28" s="149" t="s">
        <v>47</v>
      </c>
      <c r="H28" s="156">
        <f>VLOOKUP($P28,TOV!$A$4:$E$65536,4,FALSE)</f>
        <v>3227.0849099999996</v>
      </c>
      <c r="I28" s="163"/>
      <c r="J28" s="136">
        <f>IF($E28="Y",IF(I28=0,F28*H28,F28*I28),"")</f>
        <v>0</v>
      </c>
      <c r="K28" s="137"/>
      <c r="L28" s="474" t="s">
        <v>619</v>
      </c>
      <c r="M28" s="231"/>
      <c r="N28" s="102"/>
      <c r="O28" s="159">
        <f>IF(I28="",0,1)</f>
        <v>0</v>
      </c>
      <c r="P28" s="160" t="s">
        <v>487</v>
      </c>
      <c r="Q28" s="147"/>
    </row>
    <row r="29" spans="1:41" ht="27" customHeight="1" thickBot="1" x14ac:dyDescent="0.25">
      <c r="A29" s="107"/>
      <c r="B29" s="117"/>
      <c r="C29" s="614"/>
      <c r="D29" s="232" t="str">
        <f>VLOOKUP($P29,TOV!$A$4:$E$65536,2,FALSE)</f>
        <v>OR Backfill dams and reinstate to natural surface.  (Push only)</v>
      </c>
      <c r="E29" s="184" t="s">
        <v>515</v>
      </c>
      <c r="F29" s="185"/>
      <c r="G29" s="164" t="s">
        <v>38</v>
      </c>
      <c r="H29" s="186">
        <f>VLOOKUP($P29,TOV!$A$4:$E$65536,4,FALSE)</f>
        <v>0.64087223692553696</v>
      </c>
      <c r="I29" s="165"/>
      <c r="J29" s="233">
        <f t="shared" si="1"/>
        <v>0</v>
      </c>
      <c r="K29" s="137"/>
      <c r="L29" s="484" t="s">
        <v>620</v>
      </c>
      <c r="M29" s="231"/>
      <c r="N29" s="102"/>
      <c r="O29" s="159">
        <f>IF(I29="",0,1)</f>
        <v>0</v>
      </c>
      <c r="P29" s="160" t="s">
        <v>460</v>
      </c>
      <c r="Q29" s="234"/>
      <c r="R29" s="235"/>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row>
    <row r="30" spans="1:41" ht="13.5" thickBot="1" x14ac:dyDescent="0.25">
      <c r="A30" s="1"/>
      <c r="B30" s="6"/>
      <c r="C30" s="205"/>
      <c r="D30" s="207"/>
      <c r="E30" s="207"/>
      <c r="F30" s="236" t="s">
        <v>573</v>
      </c>
      <c r="G30" s="172"/>
      <c r="H30" s="173"/>
      <c r="I30" s="173"/>
      <c r="J30" s="209">
        <f>SUM(J26:J29)</f>
        <v>0</v>
      </c>
      <c r="K30" s="209"/>
      <c r="L30" s="485"/>
      <c r="M30" s="7"/>
      <c r="O30" s="569"/>
      <c r="P30" s="570"/>
      <c r="Q30" s="571"/>
    </row>
    <row r="31" spans="1:41" ht="33.75" x14ac:dyDescent="0.2">
      <c r="A31" s="1"/>
      <c r="B31" s="6"/>
      <c r="C31" s="580" t="s">
        <v>646</v>
      </c>
      <c r="D31" s="225" t="str">
        <f>VLOOKUP($P31,TOV!$A$4:$E$65536,2,FALSE)</f>
        <v>Shaping or levelling of minor excavations, batters and stockpiles, final trim, rock rake and deep rip</v>
      </c>
      <c r="E31" s="210" t="s">
        <v>515</v>
      </c>
      <c r="F31" s="226"/>
      <c r="G31" s="133" t="s">
        <v>47</v>
      </c>
      <c r="H31" s="212">
        <f>VLOOKUP($P31,TOV!$A$4:$E$65536,4,FALSE)</f>
        <v>1328.5108262753702</v>
      </c>
      <c r="I31" s="217"/>
      <c r="J31" s="228">
        <f t="shared" si="1"/>
        <v>0</v>
      </c>
      <c r="K31" s="229"/>
      <c r="L31" s="478" t="s">
        <v>602</v>
      </c>
      <c r="M31" s="7"/>
      <c r="O31" s="138">
        <f t="shared" ref="O31:O37" si="2">IF(I31="",0,1)</f>
        <v>0</v>
      </c>
      <c r="P31" s="139" t="s">
        <v>273</v>
      </c>
      <c r="Q31" s="140"/>
    </row>
    <row r="32" spans="1:41" ht="36" x14ac:dyDescent="0.2">
      <c r="A32" s="1"/>
      <c r="B32" s="6"/>
      <c r="C32" s="580"/>
      <c r="D32" s="180" t="str">
        <f>VLOOKUP($P32,TOV!$A$4:$E$65536,2,FALSE)</f>
        <v>Structural water management works, banks, drains, rock lined waterways, sediment dams</v>
      </c>
      <c r="E32" s="148" t="s">
        <v>515</v>
      </c>
      <c r="F32" s="181"/>
      <c r="G32" s="149" t="s">
        <v>47</v>
      </c>
      <c r="H32" s="156">
        <f>VLOOKUP($P32,TOV!$A$4:$E$65536,4,FALSE)</f>
        <v>2043.8628096544155</v>
      </c>
      <c r="I32" s="163"/>
      <c r="J32" s="136">
        <f t="shared" si="1"/>
        <v>0</v>
      </c>
      <c r="K32" s="137"/>
      <c r="L32" s="474" t="s">
        <v>603</v>
      </c>
      <c r="M32" s="7"/>
      <c r="O32" s="151">
        <f t="shared" si="2"/>
        <v>0</v>
      </c>
      <c r="P32" s="152" t="s">
        <v>388</v>
      </c>
      <c r="Q32" s="153"/>
    </row>
    <row r="33" spans="1:17" ht="20.25" x14ac:dyDescent="0.3">
      <c r="A33" s="1"/>
      <c r="B33" s="6"/>
      <c r="C33" s="580"/>
      <c r="D33" s="154" t="str">
        <f>VLOOKUP($P33,TOV!$A$4:$E$65536,2,FALSE)</f>
        <v>Clear and grub existing vegetation</v>
      </c>
      <c r="E33" s="148" t="s">
        <v>515</v>
      </c>
      <c r="F33" s="200"/>
      <c r="G33" s="149" t="s">
        <v>47</v>
      </c>
      <c r="H33" s="201">
        <f>VLOOKUP($P33,TOV!$A$4:$E$65536,4,FALSE)</f>
        <v>3412.5495599999995</v>
      </c>
      <c r="I33" s="220"/>
      <c r="J33" s="136">
        <f t="shared" si="1"/>
        <v>0</v>
      </c>
      <c r="K33" s="157"/>
      <c r="L33" s="483" t="s">
        <v>605</v>
      </c>
      <c r="M33" s="221"/>
      <c r="N33" s="222"/>
      <c r="O33" s="159">
        <f t="shared" si="2"/>
        <v>0</v>
      </c>
      <c r="P33" s="160" t="s">
        <v>606</v>
      </c>
      <c r="Q33" s="153"/>
    </row>
    <row r="34" spans="1:17" ht="22.5" x14ac:dyDescent="0.2">
      <c r="A34" s="1"/>
      <c r="B34" s="6"/>
      <c r="C34" s="580"/>
      <c r="D34" s="180" t="str">
        <f>VLOOKUP($P34,TOV!$A$4:$E$65536,2,FALSE)</f>
        <v>Reshape, deep rip and ameliorate sealed unsealed roads</v>
      </c>
      <c r="E34" s="148" t="s">
        <v>515</v>
      </c>
      <c r="F34" s="181"/>
      <c r="G34" s="149" t="s">
        <v>47</v>
      </c>
      <c r="H34" s="156">
        <f>VLOOKUP($P34,TOV!$A$4:$E$65536,4,FALSE)</f>
        <v>2554.8285120680189</v>
      </c>
      <c r="I34" s="163"/>
      <c r="J34" s="136">
        <f t="shared" si="1"/>
        <v>0</v>
      </c>
      <c r="K34" s="137"/>
      <c r="L34" s="474" t="s">
        <v>647</v>
      </c>
      <c r="M34" s="7"/>
      <c r="O34" s="151">
        <f t="shared" si="2"/>
        <v>0</v>
      </c>
      <c r="P34" s="152" t="s">
        <v>363</v>
      </c>
      <c r="Q34" s="153"/>
    </row>
    <row r="35" spans="1:17" ht="33.75" x14ac:dyDescent="0.2">
      <c r="A35" s="1"/>
      <c r="B35" s="6"/>
      <c r="C35" s="580"/>
      <c r="D35" s="180" t="str">
        <f>VLOOKUP($P35,TOV!$A$4:$E$65536,2,FALSE)</f>
        <v>Maintenance of the rehabilitated areas that are intended to be part of the ongoing closure of the site.</v>
      </c>
      <c r="E35" s="148" t="s">
        <v>515</v>
      </c>
      <c r="F35" s="181"/>
      <c r="G35" s="149" t="s">
        <v>47</v>
      </c>
      <c r="H35" s="156">
        <f>VLOOKUP($P35,TOV!$A$4:$E$65536,4,FALSE)</f>
        <v>664.25541313768508</v>
      </c>
      <c r="I35" s="163"/>
      <c r="J35" s="136">
        <f t="shared" si="1"/>
        <v>0</v>
      </c>
      <c r="K35" s="137"/>
      <c r="L35" s="474" t="s">
        <v>607</v>
      </c>
      <c r="M35" s="7"/>
      <c r="O35" s="151">
        <f t="shared" si="2"/>
        <v>0</v>
      </c>
      <c r="P35" s="152" t="s">
        <v>52</v>
      </c>
      <c r="Q35" s="153"/>
    </row>
    <row r="36" spans="1:17" ht="27" x14ac:dyDescent="0.2">
      <c r="A36" s="1"/>
      <c r="B36" s="6"/>
      <c r="C36" s="580"/>
      <c r="D36" s="180" t="str">
        <f>VLOOKUP($P36,TOV!$A$4:$E$65536,2,FALSE)</f>
        <v>Construct a standard stock fence around the site</v>
      </c>
      <c r="E36" s="148" t="s">
        <v>515</v>
      </c>
      <c r="F36" s="181"/>
      <c r="G36" s="149" t="s">
        <v>101</v>
      </c>
      <c r="H36" s="156">
        <f>VLOOKUP($P36,TOV!$A$4:$E$65536,4,FALSE)</f>
        <v>8.1754512386176614</v>
      </c>
      <c r="I36" s="163"/>
      <c r="J36" s="136">
        <f t="shared" si="1"/>
        <v>0</v>
      </c>
      <c r="K36" s="137"/>
      <c r="L36" s="474" t="s">
        <v>608</v>
      </c>
      <c r="M36" s="7"/>
      <c r="O36" s="151">
        <f t="shared" si="2"/>
        <v>0</v>
      </c>
      <c r="P36" s="152" t="s">
        <v>178</v>
      </c>
      <c r="Q36" s="153"/>
    </row>
    <row r="37" spans="1:17" ht="12.75" customHeight="1" x14ac:dyDescent="0.2">
      <c r="A37" s="1"/>
      <c r="B37" s="6"/>
      <c r="C37" s="580"/>
      <c r="D37" s="621" t="str">
        <f>VLOOKUP($P37,TOV!$A$4:$E$65536,2,FALSE)</f>
        <v>Source (where availiable onsite), cart, spread and lightly rip topsoil</v>
      </c>
      <c r="E37" s="623" t="s">
        <v>515</v>
      </c>
      <c r="F37" s="625"/>
      <c r="G37" s="627" t="s">
        <v>82</v>
      </c>
      <c r="H37" s="629" t="str">
        <f>VLOOKUP($P37,TOV!$A$4:$E$65536,4,FALSE)</f>
        <v>Select from List</v>
      </c>
      <c r="I37" s="659"/>
      <c r="J37" s="633" t="str">
        <f>IF($E37="Y",IF(I37=0,IF(H37="Select From List","",F37*H37),F37*I37),"")</f>
        <v/>
      </c>
      <c r="K37" s="137" t="s">
        <v>514</v>
      </c>
      <c r="L37" s="657" t="s">
        <v>609</v>
      </c>
      <c r="M37" s="658"/>
      <c r="N37" s="591"/>
      <c r="O37" s="592">
        <f t="shared" si="2"/>
        <v>0</v>
      </c>
      <c r="P37" s="594" t="str">
        <f>IF(Q37=1,"X044",IF(Q37=2,"X045",IF(Q37=3,"X046",IF(Q37=4,"x047",IF(Q37=5,"X048","X044")))))</f>
        <v>X044</v>
      </c>
      <c r="Q37" s="574">
        <f>VLOOKUP(K37,Select_Haul_Distance_Index,2,FALSE)</f>
        <v>1</v>
      </c>
    </row>
    <row r="38" spans="1:17" ht="27" customHeight="1" x14ac:dyDescent="0.2">
      <c r="A38" s="1"/>
      <c r="B38" s="6"/>
      <c r="C38" s="580"/>
      <c r="D38" s="621"/>
      <c r="E38" s="623"/>
      <c r="F38" s="625"/>
      <c r="G38" s="627"/>
      <c r="H38" s="629"/>
      <c r="I38" s="659"/>
      <c r="J38" s="633"/>
      <c r="K38" s="137"/>
      <c r="L38" s="657"/>
      <c r="M38" s="658"/>
      <c r="N38" s="591"/>
      <c r="O38" s="593"/>
      <c r="P38" s="595"/>
      <c r="Q38" s="575"/>
    </row>
    <row r="39" spans="1:17" ht="27" customHeight="1" x14ac:dyDescent="0.2">
      <c r="A39" s="1"/>
      <c r="B39" s="6"/>
      <c r="C39" s="580"/>
      <c r="D39" s="154" t="str">
        <f>VLOOKUP($P39,TOV!$A$4:$E$65536,2,FALSE)</f>
        <v>Purchase of topsoil where there is a shortage on site</v>
      </c>
      <c r="E39" s="148" t="s">
        <v>515</v>
      </c>
      <c r="F39" s="200"/>
      <c r="G39" s="149" t="s">
        <v>38</v>
      </c>
      <c r="H39" s="201">
        <f>VLOOKUP($P39,TOV!$A$4:$E$65536,4,FALSE)</f>
        <v>34.622540861999994</v>
      </c>
      <c r="I39" s="220"/>
      <c r="J39" s="136">
        <f t="shared" ref="J39" si="3">IF($E39="Y",IF(I39=0,F39*H39,F39*I39),"")</f>
        <v>0</v>
      </c>
      <c r="K39" s="157"/>
      <c r="L39" s="475" t="s">
        <v>610</v>
      </c>
      <c r="M39" s="162"/>
      <c r="N39" s="16"/>
      <c r="O39" s="159">
        <f t="shared" ref="O39" si="4">IF(I39="",0,1)</f>
        <v>0</v>
      </c>
      <c r="P39" s="160" t="s">
        <v>611</v>
      </c>
      <c r="Q39" s="224"/>
    </row>
    <row r="40" spans="1:17" ht="27" x14ac:dyDescent="0.2">
      <c r="A40" s="1"/>
      <c r="B40" s="6"/>
      <c r="C40" s="580"/>
      <c r="D40" s="180" t="str">
        <f>VLOOKUP($P40,TOV!$A$4:$E$65536,2,FALSE)</f>
        <v>Soil amelioration (adding gypsum, lime, etc)</v>
      </c>
      <c r="E40" s="148" t="s">
        <v>515</v>
      </c>
      <c r="F40" s="181"/>
      <c r="G40" s="149" t="s">
        <v>47</v>
      </c>
      <c r="H40" s="156">
        <f>VLOOKUP($P40,TOV!$A$4:$E$65536,4,FALSE)</f>
        <v>510.96570241360388</v>
      </c>
      <c r="I40" s="163"/>
      <c r="J40" s="136">
        <f t="shared" si="1"/>
        <v>0</v>
      </c>
      <c r="K40" s="137"/>
      <c r="L40" s="474" t="s">
        <v>612</v>
      </c>
      <c r="M40" s="7"/>
      <c r="O40" s="151">
        <f>IF(I40="",0,1)</f>
        <v>0</v>
      </c>
      <c r="P40" s="152" t="s">
        <v>119</v>
      </c>
      <c r="Q40" s="153"/>
    </row>
    <row r="41" spans="1:17" ht="63" x14ac:dyDescent="0.2">
      <c r="A41" s="1"/>
      <c r="B41" s="6"/>
      <c r="C41" s="580"/>
      <c r="D41" s="180" t="str">
        <f>VLOOKUP($P41,TOV!$A$4:$E$65536,2,FALSE)</f>
        <v>Direct seeding (native tree species OR using native grasses), with single application of fertiliser</v>
      </c>
      <c r="E41" s="148" t="s">
        <v>515</v>
      </c>
      <c r="F41" s="181"/>
      <c r="G41" s="149" t="s">
        <v>47</v>
      </c>
      <c r="H41" s="156">
        <f>VLOOKUP($P41,TOV!$A$4:$E$65536,4,FALSE)</f>
        <v>3576.7599168952274</v>
      </c>
      <c r="I41" s="163"/>
      <c r="J41" s="136">
        <f t="shared" si="1"/>
        <v>0</v>
      </c>
      <c r="K41" s="137"/>
      <c r="L41" s="474" t="s">
        <v>613</v>
      </c>
      <c r="M41" s="7"/>
      <c r="O41" s="151">
        <f>IF(I41="",0,1)</f>
        <v>0</v>
      </c>
      <c r="P41" s="152" t="s">
        <v>121</v>
      </c>
      <c r="Q41" s="153"/>
    </row>
    <row r="42" spans="1:17" ht="63" x14ac:dyDescent="0.2">
      <c r="A42" s="1"/>
      <c r="B42" s="6"/>
      <c r="C42" s="580"/>
      <c r="D42" s="180" t="str">
        <f>VLOOKUP($P42,TOV!$A$4:$E$65536,2,FALSE)</f>
        <v>Direct seeding (pasture grass species), with single application of fertiliser</v>
      </c>
      <c r="E42" s="148" t="s">
        <v>515</v>
      </c>
      <c r="F42" s="181"/>
      <c r="G42" s="149" t="s">
        <v>47</v>
      </c>
      <c r="H42" s="156">
        <f>VLOOKUP($P42,TOV!$A$4:$E$65536,4,FALSE)</f>
        <v>919.73826434448688</v>
      </c>
      <c r="I42" s="163"/>
      <c r="J42" s="136">
        <f t="shared" si="1"/>
        <v>0</v>
      </c>
      <c r="K42" s="137"/>
      <c r="L42" s="474" t="s">
        <v>614</v>
      </c>
      <c r="M42" s="7"/>
      <c r="O42" s="151">
        <f>IF(I42="",0,1)</f>
        <v>0</v>
      </c>
      <c r="P42" s="152" t="s">
        <v>123</v>
      </c>
      <c r="Q42" s="153"/>
    </row>
    <row r="43" spans="1:17" ht="18.75" thickBot="1" x14ac:dyDescent="0.25">
      <c r="A43" s="1"/>
      <c r="B43" s="6"/>
      <c r="C43" s="580"/>
      <c r="D43" s="180" t="str">
        <f>VLOOKUP($P43,TOV!$A$4:$E$65536,2,FALSE)</f>
        <v>Planting tubestock (&lt; 15cm)</v>
      </c>
      <c r="E43" s="148" t="s">
        <v>515</v>
      </c>
      <c r="F43" s="181"/>
      <c r="G43" s="149" t="s">
        <v>41</v>
      </c>
      <c r="H43" s="156">
        <f>VLOOKUP($P43,TOV!$A$4:$E$65536,4,FALSE)</f>
        <v>8.6604356341288788</v>
      </c>
      <c r="I43" s="163"/>
      <c r="J43" s="136">
        <f t="shared" si="1"/>
        <v>0</v>
      </c>
      <c r="K43" s="137"/>
      <c r="L43" s="474" t="s">
        <v>615</v>
      </c>
      <c r="M43" s="7"/>
      <c r="O43" s="151">
        <f>IF(I43="",0,1)</f>
        <v>0</v>
      </c>
      <c r="P43" s="152" t="s">
        <v>129</v>
      </c>
      <c r="Q43" s="153"/>
    </row>
    <row r="44" spans="1:17" ht="13.5" thickBot="1" x14ac:dyDescent="0.25">
      <c r="A44" s="1"/>
      <c r="B44" s="6"/>
      <c r="C44" s="205"/>
      <c r="D44" s="206"/>
      <c r="E44" s="207"/>
      <c r="F44" s="236" t="s">
        <v>573</v>
      </c>
      <c r="G44" s="236"/>
      <c r="H44" s="236"/>
      <c r="I44" s="208"/>
      <c r="J44" s="209">
        <f>SUM(J31:J43)</f>
        <v>0</v>
      </c>
      <c r="K44" s="209"/>
      <c r="L44" s="481"/>
      <c r="M44" s="7"/>
      <c r="O44" s="649"/>
      <c r="P44" s="650"/>
      <c r="Q44" s="651"/>
    </row>
    <row r="45" spans="1:17" ht="12.75" x14ac:dyDescent="0.2">
      <c r="A45" s="1"/>
      <c r="B45" s="6"/>
      <c r="C45" s="581" t="s">
        <v>621</v>
      </c>
      <c r="D45" s="225" t="s">
        <v>622</v>
      </c>
      <c r="E45" s="133"/>
      <c r="F45" s="237"/>
      <c r="G45" s="133"/>
      <c r="H45" s="652"/>
      <c r="I45" s="135"/>
      <c r="J45" s="238">
        <f>F45*I45</f>
        <v>0</v>
      </c>
      <c r="K45" s="238"/>
      <c r="L45" s="478" t="s">
        <v>623</v>
      </c>
      <c r="M45" s="7"/>
      <c r="O45" s="138">
        <f>IF(I45="",0,1)</f>
        <v>0</v>
      </c>
      <c r="P45" s="266"/>
      <c r="Q45" s="140"/>
    </row>
    <row r="46" spans="1:17" ht="12.75" x14ac:dyDescent="0.2">
      <c r="A46" s="1"/>
      <c r="B46" s="6"/>
      <c r="C46" s="581"/>
      <c r="D46" s="180" t="s">
        <v>624</v>
      </c>
      <c r="E46" s="149"/>
      <c r="F46" s="240"/>
      <c r="G46" s="149"/>
      <c r="H46" s="653"/>
      <c r="I46" s="163"/>
      <c r="J46" s="241">
        <f>F46*I46</f>
        <v>0</v>
      </c>
      <c r="K46" s="241"/>
      <c r="L46" s="474" t="s">
        <v>623</v>
      </c>
      <c r="M46" s="7"/>
      <c r="O46" s="151">
        <f>IF(I46="",0,1)</f>
        <v>0</v>
      </c>
      <c r="P46" s="267"/>
      <c r="Q46" s="153"/>
    </row>
    <row r="47" spans="1:17" ht="13.5" thickBot="1" x14ac:dyDescent="0.25">
      <c r="A47" s="1"/>
      <c r="B47" s="6"/>
      <c r="C47" s="581"/>
      <c r="D47" s="183" t="s">
        <v>625</v>
      </c>
      <c r="E47" s="164"/>
      <c r="F47" s="243"/>
      <c r="G47" s="164"/>
      <c r="H47" s="654"/>
      <c r="I47" s="165"/>
      <c r="J47" s="268">
        <f>F47*I47</f>
        <v>0</v>
      </c>
      <c r="K47" s="244"/>
      <c r="L47" s="476" t="s">
        <v>623</v>
      </c>
      <c r="M47" s="7"/>
      <c r="O47" s="166">
        <f>IF(I47="",0,1)</f>
        <v>0</v>
      </c>
      <c r="P47" s="269"/>
      <c r="Q47" s="168"/>
    </row>
    <row r="48" spans="1:17" ht="13.5" thickBot="1" x14ac:dyDescent="0.25">
      <c r="A48" s="1"/>
      <c r="B48" s="6"/>
      <c r="C48" s="260"/>
      <c r="D48" s="270"/>
      <c r="E48" s="270"/>
      <c r="F48" s="262" t="s">
        <v>573</v>
      </c>
      <c r="G48" s="263"/>
      <c r="H48" s="264"/>
      <c r="I48" s="264"/>
      <c r="J48" s="265">
        <f>SUM(J45:J47)</f>
        <v>0</v>
      </c>
      <c r="K48" s="265"/>
      <c r="L48" s="477"/>
      <c r="M48" s="7"/>
      <c r="O48" s="569"/>
      <c r="P48" s="570"/>
      <c r="Q48" s="571"/>
    </row>
    <row r="49" spans="1:17" ht="15" x14ac:dyDescent="0.2">
      <c r="A49" s="1"/>
      <c r="B49" s="6"/>
      <c r="C49" s="214"/>
      <c r="D49" s="214"/>
      <c r="E49" s="214"/>
      <c r="F49" s="271"/>
      <c r="G49" s="214"/>
      <c r="H49" s="214"/>
      <c r="I49" s="214"/>
      <c r="J49" s="214"/>
      <c r="K49" s="214"/>
      <c r="L49" s="491"/>
      <c r="M49" s="7"/>
      <c r="O49" s="1"/>
      <c r="P49" s="1"/>
      <c r="Q49" s="1"/>
    </row>
    <row r="50" spans="1:17" ht="15.75" x14ac:dyDescent="0.2">
      <c r="A50" s="1"/>
      <c r="B50" s="6"/>
      <c r="C50" s="246" t="s">
        <v>627</v>
      </c>
      <c r="D50" s="655" t="s">
        <v>628</v>
      </c>
      <c r="E50" s="655"/>
      <c r="F50" s="656"/>
      <c r="G50" s="656"/>
      <c r="H50" s="656"/>
      <c r="I50" s="273"/>
      <c r="J50" s="274">
        <f>SUM(J48,J44,J30,J25)</f>
        <v>0</v>
      </c>
      <c r="K50" s="274"/>
      <c r="L50" s="491"/>
      <c r="M50" s="7"/>
      <c r="O50" s="1"/>
      <c r="P50" s="1"/>
      <c r="Q50" s="1"/>
    </row>
    <row r="51" spans="1:17" ht="15" x14ac:dyDescent="0.2">
      <c r="A51" s="1"/>
      <c r="B51" s="50"/>
      <c r="C51" s="275"/>
      <c r="D51" s="275"/>
      <c r="E51" s="275"/>
      <c r="F51" s="276"/>
      <c r="G51" s="275"/>
      <c r="H51" s="275"/>
      <c r="I51" s="275"/>
      <c r="J51" s="275"/>
      <c r="K51" s="275"/>
      <c r="L51" s="492"/>
      <c r="M51" s="33"/>
      <c r="O51" s="1"/>
      <c r="P51" s="1"/>
      <c r="Q51" s="1"/>
    </row>
    <row r="52" spans="1:17" ht="15" x14ac:dyDescent="0.25">
      <c r="A52" s="1"/>
      <c r="B52" s="1"/>
      <c r="C52" s="1"/>
      <c r="D52" s="1"/>
      <c r="E52" s="1"/>
      <c r="F52" s="1"/>
      <c r="G52" s="1"/>
      <c r="H52" s="1"/>
      <c r="I52" s="1"/>
      <c r="J52" s="1"/>
      <c r="K52" s="1"/>
      <c r="L52" s="457"/>
      <c r="M52" s="1"/>
      <c r="O52" s="1"/>
      <c r="P52" s="1"/>
      <c r="Q52" s="1"/>
    </row>
  </sheetData>
  <mergeCells count="54">
    <mergeCell ref="C3:L3"/>
    <mergeCell ref="C8:D17"/>
    <mergeCell ref="F8:I8"/>
    <mergeCell ref="J8:K8"/>
    <mergeCell ref="F9:I9"/>
    <mergeCell ref="J9:K9"/>
    <mergeCell ref="F10:I10"/>
    <mergeCell ref="J10:K10"/>
    <mergeCell ref="F11:I11"/>
    <mergeCell ref="J11:K11"/>
    <mergeCell ref="F12:I12"/>
    <mergeCell ref="J12:K12"/>
    <mergeCell ref="F13:I13"/>
    <mergeCell ref="J13:K13"/>
    <mergeCell ref="F14:I14"/>
    <mergeCell ref="J14:K14"/>
    <mergeCell ref="Q20:Q21"/>
    <mergeCell ref="F15:I17"/>
    <mergeCell ref="J15:K17"/>
    <mergeCell ref="C20:C24"/>
    <mergeCell ref="D20:D21"/>
    <mergeCell ref="E20:E21"/>
    <mergeCell ref="F20:F21"/>
    <mergeCell ref="G20:G21"/>
    <mergeCell ref="H20:H21"/>
    <mergeCell ref="I20:I21"/>
    <mergeCell ref="J20:J21"/>
    <mergeCell ref="L20:L21"/>
    <mergeCell ref="M20:M21"/>
    <mergeCell ref="N20:N21"/>
    <mergeCell ref="O20:O21"/>
    <mergeCell ref="P20:P21"/>
    <mergeCell ref="O25:Q25"/>
    <mergeCell ref="C26:C29"/>
    <mergeCell ref="O30:Q30"/>
    <mergeCell ref="C31:C43"/>
    <mergeCell ref="D37:D38"/>
    <mergeCell ref="E37:E38"/>
    <mergeCell ref="F37:F38"/>
    <mergeCell ref="G37:G38"/>
    <mergeCell ref="H37:H38"/>
    <mergeCell ref="I37:I38"/>
    <mergeCell ref="Q37:Q38"/>
    <mergeCell ref="D50:H50"/>
    <mergeCell ref="J37:J38"/>
    <mergeCell ref="L37:L38"/>
    <mergeCell ref="M37:M38"/>
    <mergeCell ref="N37:N38"/>
    <mergeCell ref="O44:Q44"/>
    <mergeCell ref="C45:C47"/>
    <mergeCell ref="H45:H47"/>
    <mergeCell ref="O48:Q48"/>
    <mergeCell ref="O37:O38"/>
    <mergeCell ref="P37:P38"/>
  </mergeCells>
  <conditionalFormatting sqref="F20:F24">
    <cfRule type="expression" dxfId="69" priority="14" stopIfTrue="1">
      <formula>$E20="N"</formula>
    </cfRule>
    <cfRule type="expression" dxfId="68" priority="15" stopIfTrue="1">
      <formula>$E20="Y"</formula>
    </cfRule>
  </conditionalFormatting>
  <conditionalFormatting sqref="F26:F29">
    <cfRule type="expression" dxfId="67" priority="10" stopIfTrue="1">
      <formula>$E26="N"</formula>
    </cfRule>
    <cfRule type="expression" dxfId="66" priority="11" stopIfTrue="1">
      <formula>$E26="Y"</formula>
    </cfRule>
  </conditionalFormatting>
  <conditionalFormatting sqref="F31:F43">
    <cfRule type="expression" dxfId="65" priority="2" stopIfTrue="1">
      <formula>$E31="N"</formula>
    </cfRule>
    <cfRule type="expression" dxfId="64" priority="3" stopIfTrue="1">
      <formula>$E31="Y"</formula>
    </cfRule>
  </conditionalFormatting>
  <conditionalFormatting sqref="J20:J24">
    <cfRule type="expression" dxfId="63" priority="13" stopIfTrue="1">
      <formula>$O20=1</formula>
    </cfRule>
  </conditionalFormatting>
  <conditionalFormatting sqref="J26:J29">
    <cfRule type="expression" dxfId="62" priority="9" stopIfTrue="1">
      <formula>$O26=1</formula>
    </cfRule>
  </conditionalFormatting>
  <conditionalFormatting sqref="J31:J43">
    <cfRule type="expression" dxfId="61" priority="1" stopIfTrue="1">
      <formula>$O31=1</formula>
    </cfRule>
  </conditionalFormatting>
  <conditionalFormatting sqref="K20:K24">
    <cfRule type="expression" dxfId="60" priority="16" stopIfTrue="1">
      <formula>$O20=1</formula>
    </cfRule>
  </conditionalFormatting>
  <conditionalFormatting sqref="K26:K29">
    <cfRule type="expression" dxfId="59" priority="12" stopIfTrue="1">
      <formula>$O26=1</formula>
    </cfRule>
  </conditionalFormatting>
  <conditionalFormatting sqref="K31:K43">
    <cfRule type="expression" dxfId="58" priority="4" stopIfTrue="1">
      <formula>$O31=1</formula>
    </cfRule>
  </conditionalFormatting>
  <dataValidations count="2">
    <dataValidation type="list" allowBlank="1" showInputMessage="1" showErrorMessage="1" sqref="E26:E29 E20:E24 E31:E43" xr:uid="{AFF867A6-BB83-482D-BF4B-C2B3DD288BCA}">
      <formula1>Y_N</formula1>
    </dataValidation>
    <dataValidation type="list" allowBlank="1" showInputMessage="1" showErrorMessage="1" sqref="K37 K20" xr:uid="{15654E72-39E9-46EA-8094-6959F95FA4DB}">
      <formula1>Select_Haul_Distance</formula1>
    </dataValidation>
  </dataValidations>
  <printOptions horizontalCentered="1"/>
  <pageMargins left="0.39370078740157483" right="0.39370078740157483" top="0.59055118110236227" bottom="0.59055118110236227" header="0.39370078740157483" footer="0.39370078740157483"/>
  <pageSetup paperSize="8" orientation="landscape" r:id="rId1"/>
  <headerFooter alignWithMargins="0">
    <oddFooter>&amp;C_x000D_&amp;1#&amp;"Calibri"&amp;12&amp;K000000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230</vt:i4>
      </vt:variant>
    </vt:vector>
  </HeadingPairs>
  <TitlesOfParts>
    <vt:vector size="246" baseType="lpstr">
      <vt:lpstr>Terms and Conditions</vt:lpstr>
      <vt:lpstr>Registration</vt:lpstr>
      <vt:lpstr>Assumptions</vt:lpstr>
      <vt:lpstr>TOV</vt:lpstr>
      <vt:lpstr>System</vt:lpstr>
      <vt:lpstr>Infrastructure</vt:lpstr>
      <vt:lpstr>Tailings Storage (1)</vt:lpstr>
      <vt:lpstr>Tailings Storage (2)</vt:lpstr>
      <vt:lpstr>Tailings Storage (3)</vt:lpstr>
      <vt:lpstr>Overburden &amp; Waste</vt:lpstr>
      <vt:lpstr>Pits(1)</vt:lpstr>
      <vt:lpstr>Pits(2)</vt:lpstr>
      <vt:lpstr>Pits(3)</vt:lpstr>
      <vt:lpstr>Other</vt:lpstr>
      <vt:lpstr>Management &amp; Contingencies</vt:lpstr>
      <vt:lpstr>Summary Report</vt:lpstr>
      <vt:lpstr>Assumptions!Print_Area</vt:lpstr>
      <vt:lpstr>Infrastructure!Print_Area</vt:lpstr>
      <vt:lpstr>'Management &amp; Contingencies'!Print_Area</vt:lpstr>
      <vt:lpstr>Other!Print_Area</vt:lpstr>
      <vt:lpstr>'Overburden &amp; Waste'!Print_Area</vt:lpstr>
      <vt:lpstr>'Pits(1)'!Print_Area</vt:lpstr>
      <vt:lpstr>'Pits(2)'!Print_Area</vt:lpstr>
      <vt:lpstr>'Pits(3)'!Print_Area</vt:lpstr>
      <vt:lpstr>Registration!Print_Area</vt:lpstr>
      <vt:lpstr>'Summary Report'!Print_Area</vt:lpstr>
      <vt:lpstr>'Tailings Storage (1)'!Print_Area</vt:lpstr>
      <vt:lpstr>'Tailings Storage (2)'!Print_Area</vt:lpstr>
      <vt:lpstr>'Tailings Storage (3)'!Print_Area</vt:lpstr>
      <vt:lpstr>Infrastructure!Print_Titles</vt:lpstr>
      <vt:lpstr>'Overburden &amp; Waste'!Print_Titles</vt:lpstr>
      <vt:lpstr>'Pits(1)'!Print_Titles</vt:lpstr>
      <vt:lpstr>'Pits(2)'!Print_Titles</vt:lpstr>
      <vt:lpstr>'Pits(3)'!Print_Titles</vt:lpstr>
      <vt:lpstr>'Tailings Storage (1)'!Print_Titles</vt:lpstr>
      <vt:lpstr>'Tailings Storage (2)'!Print_Titles</vt:lpstr>
      <vt:lpstr>'Tailings Storage (3)'!Print_Titles</vt:lpstr>
      <vt:lpstr>Infrastructure!Select_Distance</vt:lpstr>
      <vt:lpstr>'Management &amp; Contingencies'!Select_Distance</vt:lpstr>
      <vt:lpstr>Other!Select_Distance</vt:lpstr>
      <vt:lpstr>'Overburden &amp; Waste'!Select_Distance</vt:lpstr>
      <vt:lpstr>'Pits(1)'!Select_Distance</vt:lpstr>
      <vt:lpstr>'Pits(2)'!Select_Distance</vt:lpstr>
      <vt:lpstr>'Pits(3)'!Select_Distance</vt:lpstr>
      <vt:lpstr>'Summary Report'!Select_Distance</vt:lpstr>
      <vt:lpstr>'Tailings Storage (1)'!Select_Distance</vt:lpstr>
      <vt:lpstr>'Tailings Storage (2)'!Select_Distance</vt:lpstr>
      <vt:lpstr>'Tailings Storage (3)'!Select_Distance</vt:lpstr>
      <vt:lpstr>Select_Distance</vt:lpstr>
      <vt:lpstr>Infrastructure!Select_Distance_Index</vt:lpstr>
      <vt:lpstr>'Management &amp; Contingencies'!Select_Distance_Index</vt:lpstr>
      <vt:lpstr>Other!Select_Distance_Index</vt:lpstr>
      <vt:lpstr>'Overburden &amp; Waste'!Select_Distance_Index</vt:lpstr>
      <vt:lpstr>'Pits(1)'!Select_Distance_Index</vt:lpstr>
      <vt:lpstr>'Pits(2)'!Select_Distance_Index</vt:lpstr>
      <vt:lpstr>'Pits(3)'!Select_Distance_Index</vt:lpstr>
      <vt:lpstr>'Summary Report'!Select_Distance_Index</vt:lpstr>
      <vt:lpstr>'Tailings Storage (1)'!Select_Distance_Index</vt:lpstr>
      <vt:lpstr>'Tailings Storage (2)'!Select_Distance_Index</vt:lpstr>
      <vt:lpstr>'Tailings Storage (3)'!Select_Distance_Index</vt:lpstr>
      <vt:lpstr>Select_Distance_Index</vt:lpstr>
      <vt:lpstr>Infrastructure!Select_Haul_Distance</vt:lpstr>
      <vt:lpstr>'Management &amp; Contingencies'!Select_Haul_Distance</vt:lpstr>
      <vt:lpstr>Other!Select_Haul_Distance</vt:lpstr>
      <vt:lpstr>'Overburden &amp; Waste'!Select_Haul_Distance</vt:lpstr>
      <vt:lpstr>'Pits(1)'!Select_Haul_Distance</vt:lpstr>
      <vt:lpstr>'Pits(2)'!Select_Haul_Distance</vt:lpstr>
      <vt:lpstr>'Pits(3)'!Select_Haul_Distance</vt:lpstr>
      <vt:lpstr>'Summary Report'!Select_Haul_Distance</vt:lpstr>
      <vt:lpstr>'Tailings Storage (1)'!Select_Haul_Distance</vt:lpstr>
      <vt:lpstr>'Tailings Storage (2)'!Select_Haul_Distance</vt:lpstr>
      <vt:lpstr>'Tailings Storage (3)'!Select_Haul_Distance</vt:lpstr>
      <vt:lpstr>Select_Haul_Distance</vt:lpstr>
      <vt:lpstr>Infrastructure!Select_Haul_Distance_Index</vt:lpstr>
      <vt:lpstr>'Management &amp; Contingencies'!Select_Haul_Distance_Index</vt:lpstr>
      <vt:lpstr>Other!Select_Haul_Distance_Index</vt:lpstr>
      <vt:lpstr>'Overburden &amp; Waste'!Select_Haul_Distance_Index</vt:lpstr>
      <vt:lpstr>'Pits(1)'!Select_Haul_Distance_Index</vt:lpstr>
      <vt:lpstr>'Pits(2)'!Select_Haul_Distance_Index</vt:lpstr>
      <vt:lpstr>'Pits(3)'!Select_Haul_Distance_Index</vt:lpstr>
      <vt:lpstr>'Summary Report'!Select_Haul_Distance_Index</vt:lpstr>
      <vt:lpstr>'Tailings Storage (1)'!Select_Haul_Distance_Index</vt:lpstr>
      <vt:lpstr>'Tailings Storage (2)'!Select_Haul_Distance_Index</vt:lpstr>
      <vt:lpstr>'Tailings Storage (3)'!Select_Haul_Distance_Index</vt:lpstr>
      <vt:lpstr>Select_Haul_Distance_Index</vt:lpstr>
      <vt:lpstr>Select_Material</vt:lpstr>
      <vt:lpstr>Select_Material_Index</vt:lpstr>
      <vt:lpstr>Infrastructure!Select_Push_Distance</vt:lpstr>
      <vt:lpstr>'Management &amp; Contingencies'!Select_Push_Distance</vt:lpstr>
      <vt:lpstr>Other!Select_Push_Distance</vt:lpstr>
      <vt:lpstr>'Overburden &amp; Waste'!Select_Push_Distance</vt:lpstr>
      <vt:lpstr>'Pits(1)'!Select_Push_Distance</vt:lpstr>
      <vt:lpstr>'Pits(2)'!Select_Push_Distance</vt:lpstr>
      <vt:lpstr>'Pits(3)'!Select_Push_Distance</vt:lpstr>
      <vt:lpstr>'Summary Report'!Select_Push_Distance</vt:lpstr>
      <vt:lpstr>'Tailings Storage (1)'!Select_Push_Distance</vt:lpstr>
      <vt:lpstr>'Tailings Storage (2)'!Select_Push_Distance</vt:lpstr>
      <vt:lpstr>'Tailings Storage (3)'!Select_Push_Distance</vt:lpstr>
      <vt:lpstr>Select_Push_Distance</vt:lpstr>
      <vt:lpstr>Infrastructure!Select_Push_Distance_Clay</vt:lpstr>
      <vt:lpstr>'Management &amp; Contingencies'!Select_Push_Distance_Clay</vt:lpstr>
      <vt:lpstr>Other!Select_Push_Distance_Clay</vt:lpstr>
      <vt:lpstr>'Overburden &amp; Waste'!Select_Push_Distance_Clay</vt:lpstr>
      <vt:lpstr>'Pits(1)'!Select_Push_Distance_Clay</vt:lpstr>
      <vt:lpstr>'Pits(2)'!Select_Push_Distance_Clay</vt:lpstr>
      <vt:lpstr>'Pits(3)'!Select_Push_Distance_Clay</vt:lpstr>
      <vt:lpstr>'Summary Report'!Select_Push_Distance_Clay</vt:lpstr>
      <vt:lpstr>'Tailings Storage (1)'!Select_Push_Distance_Clay</vt:lpstr>
      <vt:lpstr>'Tailings Storage (2)'!Select_Push_Distance_Clay</vt:lpstr>
      <vt:lpstr>'Tailings Storage (3)'!Select_Push_Distance_Clay</vt:lpstr>
      <vt:lpstr>Select_Push_Distance_Clay</vt:lpstr>
      <vt:lpstr>Infrastructure!Select_Push_Distance_Clay_Index</vt:lpstr>
      <vt:lpstr>'Management &amp; Contingencies'!Select_Push_Distance_Clay_Index</vt:lpstr>
      <vt:lpstr>Other!Select_Push_Distance_Clay_Index</vt:lpstr>
      <vt:lpstr>'Overburden &amp; Waste'!Select_Push_Distance_Clay_Index</vt:lpstr>
      <vt:lpstr>'Pits(1)'!Select_Push_Distance_Clay_Index</vt:lpstr>
      <vt:lpstr>'Pits(2)'!Select_Push_Distance_Clay_Index</vt:lpstr>
      <vt:lpstr>'Pits(3)'!Select_Push_Distance_Clay_Index</vt:lpstr>
      <vt:lpstr>'Summary Report'!Select_Push_Distance_Clay_Index</vt:lpstr>
      <vt:lpstr>'Tailings Storage (1)'!Select_Push_Distance_Clay_Index</vt:lpstr>
      <vt:lpstr>'Tailings Storage (2)'!Select_Push_Distance_Clay_Index</vt:lpstr>
      <vt:lpstr>'Tailings Storage (3)'!Select_Push_Distance_Clay_Index</vt:lpstr>
      <vt:lpstr>Select_Push_Distance_Clay_Index</vt:lpstr>
      <vt:lpstr>Infrastructure!Select_Push_Distance_Index</vt:lpstr>
      <vt:lpstr>'Management &amp; Contingencies'!Select_Push_Distance_Index</vt:lpstr>
      <vt:lpstr>Other!Select_Push_Distance_Index</vt:lpstr>
      <vt:lpstr>'Overburden &amp; Waste'!Select_Push_Distance_Index</vt:lpstr>
      <vt:lpstr>'Pits(1)'!Select_Push_Distance_Index</vt:lpstr>
      <vt:lpstr>'Pits(2)'!Select_Push_Distance_Index</vt:lpstr>
      <vt:lpstr>'Pits(3)'!Select_Push_Distance_Index</vt:lpstr>
      <vt:lpstr>'Summary Report'!Select_Push_Distance_Index</vt:lpstr>
      <vt:lpstr>'Tailings Storage (1)'!Select_Push_Distance_Index</vt:lpstr>
      <vt:lpstr>'Tailings Storage (2)'!Select_Push_Distance_Index</vt:lpstr>
      <vt:lpstr>'Tailings Storage (3)'!Select_Push_Distance_Index</vt:lpstr>
      <vt:lpstr>Select_Push_Distance_Index</vt:lpstr>
      <vt:lpstr>Infrastructure!Select_Push_Distance_Sand</vt:lpstr>
      <vt:lpstr>'Management &amp; Contingencies'!Select_Push_Distance_Sand</vt:lpstr>
      <vt:lpstr>Other!Select_Push_Distance_Sand</vt:lpstr>
      <vt:lpstr>'Overburden &amp; Waste'!Select_Push_Distance_Sand</vt:lpstr>
      <vt:lpstr>'Pits(1)'!Select_Push_Distance_Sand</vt:lpstr>
      <vt:lpstr>'Pits(2)'!Select_Push_Distance_Sand</vt:lpstr>
      <vt:lpstr>'Pits(3)'!Select_Push_Distance_Sand</vt:lpstr>
      <vt:lpstr>'Summary Report'!Select_Push_Distance_Sand</vt:lpstr>
      <vt:lpstr>'Tailings Storage (1)'!Select_Push_Distance_Sand</vt:lpstr>
      <vt:lpstr>'Tailings Storage (2)'!Select_Push_Distance_Sand</vt:lpstr>
      <vt:lpstr>'Tailings Storage (3)'!Select_Push_Distance_Sand</vt:lpstr>
      <vt:lpstr>Select_Push_Distance_Sand</vt:lpstr>
      <vt:lpstr>Infrastructure!Select_Push_Distance_Sand_Index</vt:lpstr>
      <vt:lpstr>'Management &amp; Contingencies'!Select_Push_Distance_Sand_Index</vt:lpstr>
      <vt:lpstr>Other!Select_Push_Distance_Sand_Index</vt:lpstr>
      <vt:lpstr>'Overburden &amp; Waste'!Select_Push_Distance_Sand_Index</vt:lpstr>
      <vt:lpstr>'Pits(1)'!Select_Push_Distance_Sand_Index</vt:lpstr>
      <vt:lpstr>'Pits(2)'!Select_Push_Distance_Sand_Index</vt:lpstr>
      <vt:lpstr>'Pits(3)'!Select_Push_Distance_Sand_Index</vt:lpstr>
      <vt:lpstr>'Summary Report'!Select_Push_Distance_Sand_Index</vt:lpstr>
      <vt:lpstr>'Tailings Storage (1)'!Select_Push_Distance_Sand_Index</vt:lpstr>
      <vt:lpstr>'Tailings Storage (2)'!Select_Push_Distance_Sand_Index</vt:lpstr>
      <vt:lpstr>'Tailings Storage (3)'!Select_Push_Distance_Sand_Index</vt:lpstr>
      <vt:lpstr>Select_Push_Distance_Sand_Index</vt:lpstr>
      <vt:lpstr>Infrastructure!Select_Push_Distance_Stiff_Clay</vt:lpstr>
      <vt:lpstr>'Management &amp; Contingencies'!Select_Push_Distance_Stiff_Clay</vt:lpstr>
      <vt:lpstr>Other!Select_Push_Distance_Stiff_Clay</vt:lpstr>
      <vt:lpstr>'Overburden &amp; Waste'!Select_Push_Distance_Stiff_Clay</vt:lpstr>
      <vt:lpstr>'Pits(1)'!Select_Push_Distance_Stiff_Clay</vt:lpstr>
      <vt:lpstr>'Pits(2)'!Select_Push_Distance_Stiff_Clay</vt:lpstr>
      <vt:lpstr>'Pits(3)'!Select_Push_Distance_Stiff_Clay</vt:lpstr>
      <vt:lpstr>'Summary Report'!Select_Push_Distance_Stiff_Clay</vt:lpstr>
      <vt:lpstr>'Tailings Storage (1)'!Select_Push_Distance_Stiff_Clay</vt:lpstr>
      <vt:lpstr>'Tailings Storage (2)'!Select_Push_Distance_Stiff_Clay</vt:lpstr>
      <vt:lpstr>'Tailings Storage (3)'!Select_Push_Distance_Stiff_Clay</vt:lpstr>
      <vt:lpstr>Select_Push_Distance_Stiff_Clay</vt:lpstr>
      <vt:lpstr>Infrastructure!Select_Push_Distance_Stiff_Clay_Index</vt:lpstr>
      <vt:lpstr>'Management &amp; Contingencies'!Select_Push_Distance_Stiff_Clay_Index</vt:lpstr>
      <vt:lpstr>Other!Select_Push_Distance_Stiff_Clay_Index</vt:lpstr>
      <vt:lpstr>'Overburden &amp; Waste'!Select_Push_Distance_Stiff_Clay_Index</vt:lpstr>
      <vt:lpstr>'Pits(1)'!Select_Push_Distance_Stiff_Clay_Index</vt:lpstr>
      <vt:lpstr>'Pits(2)'!Select_Push_Distance_Stiff_Clay_Index</vt:lpstr>
      <vt:lpstr>'Pits(3)'!Select_Push_Distance_Stiff_Clay_Index</vt:lpstr>
      <vt:lpstr>'Summary Report'!Select_Push_Distance_Stiff_Clay_Index</vt:lpstr>
      <vt:lpstr>'Tailings Storage (1)'!Select_Push_Distance_Stiff_Clay_Index</vt:lpstr>
      <vt:lpstr>'Tailings Storage (2)'!Select_Push_Distance_Stiff_Clay_Index</vt:lpstr>
      <vt:lpstr>'Tailings Storage (3)'!Select_Push_Distance_Stiff_Clay_Index</vt:lpstr>
      <vt:lpstr>Select_Push_Distance_Stiff_Clay_Index</vt:lpstr>
      <vt:lpstr>Select_Rip_Type</vt:lpstr>
      <vt:lpstr>Select_Rip_Type_Index</vt:lpstr>
      <vt:lpstr>Infrastructure!Select_Size</vt:lpstr>
      <vt:lpstr>'Management &amp; Contingencies'!Select_Size</vt:lpstr>
      <vt:lpstr>Other!Select_Size</vt:lpstr>
      <vt:lpstr>'Overburden &amp; Waste'!Select_Size</vt:lpstr>
      <vt:lpstr>'Pits(1)'!Select_Size</vt:lpstr>
      <vt:lpstr>'Pits(2)'!Select_Size</vt:lpstr>
      <vt:lpstr>'Pits(3)'!Select_Size</vt:lpstr>
      <vt:lpstr>'Summary Report'!Select_Size</vt:lpstr>
      <vt:lpstr>'Tailings Storage (1)'!Select_Size</vt:lpstr>
      <vt:lpstr>'Tailings Storage (2)'!Select_Size</vt:lpstr>
      <vt:lpstr>'Tailings Storage (3)'!Select_Size</vt:lpstr>
      <vt:lpstr>Select_Size</vt:lpstr>
      <vt:lpstr>Infrastructure!Select_Size_Index</vt:lpstr>
      <vt:lpstr>'Management &amp; Contingencies'!Select_Size_Index</vt:lpstr>
      <vt:lpstr>Other!Select_Size_Index</vt:lpstr>
      <vt:lpstr>'Overburden &amp; Waste'!Select_Size_Index</vt:lpstr>
      <vt:lpstr>'Pits(1)'!Select_Size_Index</vt:lpstr>
      <vt:lpstr>'Pits(2)'!Select_Size_Index</vt:lpstr>
      <vt:lpstr>'Pits(3)'!Select_Size_Index</vt:lpstr>
      <vt:lpstr>'Summary Report'!Select_Size_Index</vt:lpstr>
      <vt:lpstr>'Tailings Storage (1)'!Select_Size_Index</vt:lpstr>
      <vt:lpstr>'Tailings Storage (2)'!Select_Size_Index</vt:lpstr>
      <vt:lpstr>'Tailings Storage (3)'!Select_Size_Index</vt:lpstr>
      <vt:lpstr>Select_Size_Index</vt:lpstr>
      <vt:lpstr>Infrastructure!Select_Volume</vt:lpstr>
      <vt:lpstr>'Management &amp; Contingencies'!Select_Volume</vt:lpstr>
      <vt:lpstr>Other!Select_Volume</vt:lpstr>
      <vt:lpstr>'Overburden &amp; Waste'!Select_Volume</vt:lpstr>
      <vt:lpstr>'Pits(1)'!Select_Volume</vt:lpstr>
      <vt:lpstr>'Pits(2)'!Select_Volume</vt:lpstr>
      <vt:lpstr>'Pits(3)'!Select_Volume</vt:lpstr>
      <vt:lpstr>'Summary Report'!Select_Volume</vt:lpstr>
      <vt:lpstr>'Tailings Storage (1)'!Select_Volume</vt:lpstr>
      <vt:lpstr>'Tailings Storage (2)'!Select_Volume</vt:lpstr>
      <vt:lpstr>'Tailings Storage (3)'!Select_Volume</vt:lpstr>
      <vt:lpstr>Select_Volume</vt:lpstr>
      <vt:lpstr>Infrastructure!Select_Volume_Index</vt:lpstr>
      <vt:lpstr>'Management &amp; Contingencies'!Select_Volume_Index</vt:lpstr>
      <vt:lpstr>Other!Select_Volume_Index</vt:lpstr>
      <vt:lpstr>'Overburden &amp; Waste'!Select_Volume_Index</vt:lpstr>
      <vt:lpstr>'Pits(1)'!Select_Volume_Index</vt:lpstr>
      <vt:lpstr>'Pits(2)'!Select_Volume_Index</vt:lpstr>
      <vt:lpstr>'Pits(3)'!Select_Volume_Index</vt:lpstr>
      <vt:lpstr>'Summary Report'!Select_Volume_Index</vt:lpstr>
      <vt:lpstr>'Tailings Storage (1)'!Select_Volume_Index</vt:lpstr>
      <vt:lpstr>'Tailings Storage (2)'!Select_Volume_Index</vt:lpstr>
      <vt:lpstr>'Tailings Storage (3)'!Select_Volume_Index</vt:lpstr>
      <vt:lpstr>Select_Volume_Index</vt:lpstr>
      <vt:lpstr>Total_Liability</vt:lpstr>
      <vt:lpstr>Infrastructure!Y_N</vt:lpstr>
      <vt:lpstr>'Management &amp; Contingencies'!Y_N</vt:lpstr>
      <vt:lpstr>Other!Y_N</vt:lpstr>
      <vt:lpstr>'Overburden &amp; Waste'!Y_N</vt:lpstr>
      <vt:lpstr>'Pits(1)'!Y_N</vt:lpstr>
      <vt:lpstr>'Pits(2)'!Y_N</vt:lpstr>
      <vt:lpstr>'Pits(3)'!Y_N</vt:lpstr>
      <vt:lpstr>'Summary Report'!Y_N</vt:lpstr>
      <vt:lpstr>'Tailings Storage (1)'!Y_N</vt:lpstr>
      <vt:lpstr>'Tailings Storage (2)'!Y_N</vt:lpstr>
      <vt:lpstr>'Tailings Storage (3)'!Y_N</vt:lpstr>
      <vt:lpstr>Y_N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Spencer (DEECA)</dc:creator>
  <cp:lastModifiedBy>Bessie M Abbott (DEECA)</cp:lastModifiedBy>
  <dcterms:created xsi:type="dcterms:W3CDTF">2026-04-24T06:37:35Z</dcterms:created>
  <dcterms:modified xsi:type="dcterms:W3CDTF">2026-05-15T03:10:24Z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2026-04-24T06:38:07Z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fdae6330-5736-4aae-808a-79ec3c7d7eab</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ies>
</file>